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11" activeTab="16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TblParEnt" sheetId="80" r:id="rId8"/>
    <sheet name="GlobTblEnt" sheetId="68" r:id="rId9"/>
    <sheet name="GlobBerNorm" sheetId="19" r:id="rId10"/>
    <sheet name="GlobTemp" sheetId="7" r:id="rId11"/>
    <sheet name="Patient--&gt;" sheetId="65" r:id="rId12"/>
    <sheet name="PatText" sheetId="9" r:id="rId13"/>
    <sheet name="PatData" sheetId="8" r:id="rId14"/>
    <sheet name="PatDetails" sheetId="6" r:id="rId15"/>
    <sheet name="Pediatrie--&gt;" sheetId="63" r:id="rId16"/>
    <sheet name="PedGuiMedIV" sheetId="10" r:id="rId17"/>
    <sheet name="PedBerMedIV" sheetId="12" r:id="rId18"/>
    <sheet name="PedTblMedIV" sheetId="11" r:id="rId19"/>
    <sheet name="PedTblMedDisc" sheetId="69" r:id="rId20"/>
    <sheet name="PedGuiLijnPM" sheetId="17" r:id="rId21"/>
    <sheet name="PedBerIVenPM" sheetId="18" r:id="rId22"/>
    <sheet name="PedTblIV" sheetId="70" r:id="rId23"/>
    <sheet name="PedGuiEntTPN" sheetId="20" r:id="rId24"/>
    <sheet name="PedBerEnt" sheetId="27" r:id="rId25"/>
    <sheet name="PedBerTPN" sheetId="21" r:id="rId26"/>
    <sheet name="PedBerTot" sheetId="24" r:id="rId27"/>
    <sheet name="PedTblParEnt" sheetId="81" r:id="rId28"/>
    <sheet name="PedTblEnt" sheetId="26" r:id="rId29"/>
    <sheet name="PedGuiLab" sheetId="58" r:id="rId30"/>
    <sheet name="PedBerLab" sheetId="57" r:id="rId31"/>
    <sheet name="PedGuiAfspr" sheetId="60" r:id="rId32"/>
    <sheet name="PedBerAfspr" sheetId="59" r:id="rId33"/>
    <sheet name="PedTblAfspr" sheetId="51" r:id="rId34"/>
    <sheet name="PedGuiAcuut" sheetId="3" r:id="rId35"/>
    <sheet name="PedTblLengte" sheetId="1" r:id="rId36"/>
    <sheet name="PedTblGew" sheetId="2" r:id="rId37"/>
    <sheet name="PedPrtAfspr" sheetId="5" r:id="rId38"/>
    <sheet name="PedPrtMedDisc" sheetId="16" r:id="rId39"/>
    <sheet name="PedTblTijden" sheetId="15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PrtMedDisc" sheetId="61" r:id="rId55"/>
    <sheet name="NeoTblTijden" sheetId="6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38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GlobNames!$A$1:$I$1948</definedName>
    <definedName name="_xlnm._FilterDatabase" localSheetId="10" hidden="1">GlobTemp!$A$2:$B$437</definedName>
    <definedName name="_xlnm._FilterDatabase" localSheetId="13" hidden="1">PatData!$A$1:$P$643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1">NeoDataInfB!$D$3</definedName>
    <definedName name="_Neo_1700_Cont_MedKeuze_2">NeoDataInfB!$D$4</definedName>
    <definedName name="_Neo_1700_Cont_MedKeuze_3">NeoDataInfB!$D$5</definedName>
    <definedName name="_Neo_1700_Cont_MedKeuze_4">NeoDataInfB!$D$6</definedName>
    <definedName name="_Neo_1700_Cont_MedKeuze_5">NeoDataInfB!$D$7</definedName>
    <definedName name="_Neo_1700_Cont_MedKeuze_6">NeoDataInfB!$D$8</definedName>
    <definedName name="_Neo_1700_Cont_MedKeuze_7">NeoDataInfB!$D$9</definedName>
    <definedName name="_Neo_1700_Cont_MedKeuze_8">NeoDataInfB!$D$10</definedName>
    <definedName name="_Neo_1700_Cont_MedKeuze_9">NeoDataInfB!$D$11</definedName>
    <definedName name="_Neo_1700_Cont_MedSterkte_1">NeoDataInfB!$D$12</definedName>
    <definedName name="_Neo_1700_Cont_MedSterkte_2">NeoDataInfB!$D$13</definedName>
    <definedName name="_Neo_1700_Cont_MedSterkte_3">NeoDataInfB!$D$14</definedName>
    <definedName name="_Neo_1700_Cont_MedSterkte_4">NeoDataInfB!$D$15</definedName>
    <definedName name="_Neo_1700_Cont_MedSterkte_5">NeoDataInfB!$D$16</definedName>
    <definedName name="_Neo_1700_Cont_MedSterkte_6">NeoDataInfB!$D$17</definedName>
    <definedName name="_Neo_1700_Cont_MedSterkte_7">NeoDataInfB!$D$18</definedName>
    <definedName name="_Neo_1700_Cont_MedSterkte_8">NeoDataInfB!$D$19</definedName>
    <definedName name="_Neo_1700_Cont_MedSterkte_9">NeoDataInfB!$D$20</definedName>
    <definedName name="_Neo_1700_Cont_MedTekst_1">NeoDataInfB!$D$21</definedName>
    <definedName name="_Neo_1700_Cont_MedTekst_2">NeoDataInfB!$D$22</definedName>
    <definedName name="_Neo_1700_Cont_OplHoev_1">NeoDataInfB!$D$23</definedName>
    <definedName name="_Neo_1700_Cont_OplHoev_2">NeoDataInfB!$D$24</definedName>
    <definedName name="_Neo_1700_Cont_OplHoev_3">NeoDataInfB!$D$25</definedName>
    <definedName name="_Neo_1700_Cont_OplHoev_4">NeoDataInfB!$D$26</definedName>
    <definedName name="_Neo_1700_Cont_OplHoev_5">NeoDataInfB!$D$27</definedName>
    <definedName name="_Neo_1700_Cont_OplHoev_6">NeoDataInfB!$D$28</definedName>
    <definedName name="_Neo_1700_Cont_OplHoev_7">NeoDataInfB!$D$29</definedName>
    <definedName name="_Neo_1700_Cont_OplHoev_8">NeoDataInfB!$D$30</definedName>
    <definedName name="_Neo_1700_Cont_OplHoev_9">NeoDataInfB!$D$31</definedName>
    <definedName name="_Neo_1700_Cont_Oplossing_01">NeoDataInfB!$D$32</definedName>
    <definedName name="_Neo_1700_Cont_Oplossing_02">NeoDataInfB!$D$33</definedName>
    <definedName name="_Neo_1700_Cont_Oplossing_03">NeoDataInfB!$D$34</definedName>
    <definedName name="_Neo_1700_Cont_Oplossing_04">NeoDataInfB!$D$35</definedName>
    <definedName name="_Neo_1700_Cont_Oplossing_05">NeoDataInfB!$D$36</definedName>
    <definedName name="_Neo_1700_Cont_Oplossing_06">NeoDataInfB!$D$37</definedName>
    <definedName name="_Neo_1700_Cont_Oplossing_07">NeoDataInfB!$D$38</definedName>
    <definedName name="_Neo_1700_Cont_Oplossing_08">NeoDataInfB!$D$39</definedName>
    <definedName name="_Neo_1700_Cont_Oplossing_09">NeoDataInfB!$D$40</definedName>
    <definedName name="_Neo_1700_Cont_Oplossing_10">NeoDataInfB!$D$41</definedName>
    <definedName name="_Neo_1700_Cont_Oplossing_11">NeoDataInfB!$D$42</definedName>
    <definedName name="_Neo_1700_Cont_Oplossing_12">NeoDataInfB!$D$43</definedName>
    <definedName name="_Neo_1700_Cont_Stand_01">NeoDataInfB!$D$44</definedName>
    <definedName name="_Neo_1700_Cont_Stand_02">NeoDataInfB!$D$45</definedName>
    <definedName name="_Neo_1700_Cont_Stand_03">NeoDataInfB!$D$46</definedName>
    <definedName name="_Neo_1700_Cont_Stand_04">NeoDataInfB!$D$47</definedName>
    <definedName name="_Neo_1700_Cont_Stand_05">NeoDataInfB!$D$48</definedName>
    <definedName name="_Neo_1700_Cont_Stand_06">NeoDataInfB!$D$49</definedName>
    <definedName name="_Neo_1700_Cont_Stand_07">NeoDataInfB!$D$50</definedName>
    <definedName name="_Neo_1700_Cont_Stand_08">NeoDataInfB!$D$51</definedName>
    <definedName name="_Neo_1700_Cont_Stand_09">NeoDataInfB!$D$52</definedName>
    <definedName name="_Neo_1700_Cont_Stand_10">NeoDataInfB!$D$53</definedName>
    <definedName name="_Neo_1700_Cont_Stand_11">NeoDataInfB!$D$54</definedName>
    <definedName name="_Neo_1700_Cont_Stand_12">NeoDataInfB!$D$55</definedName>
    <definedName name="_Neo_1700_Cont_VochtExtra_01">NeoDataInfB!$D$56</definedName>
    <definedName name="_Neo_1700_Cont_VochtExtra_02">NeoDataInfB!$D$57</definedName>
    <definedName name="_Neo_1700_Cont_VochtExtra_03">NeoDataInfB!$D$58</definedName>
    <definedName name="_Neo_1700_Cont_VochtExtra_04">NeoDataInfB!$D$59</definedName>
    <definedName name="_Neo_1700_Cont_VochtExtra_05">NeoDataInfB!$D$60</definedName>
    <definedName name="_Neo_1700_Cont_VochtExtra_06">NeoDataInfB!$D$61</definedName>
    <definedName name="_Neo_1700_Cont_VochtExtra_07">NeoDataInfB!$D$62</definedName>
    <definedName name="_Neo_1700_Cont_VochtExtra_08">NeoDataInfB!$D$63</definedName>
    <definedName name="_Neo_1700_Cont_VochtExtra_09">NeoDataInfB!$D$64</definedName>
    <definedName name="_Neo_1700_Cont_VochtExtra_10">NeoDataInfB!$D$65</definedName>
    <definedName name="_Neo_1700_Cont_VochtExtra_11">NeoDataInfB!$D$66</definedName>
    <definedName name="_Neo_1700_Cont_VochtExtra_12">NeoDataInfB!$D$67</definedName>
    <definedName name="_Neo_1700_Cont_VochtExtra_13">NeoDataInfB!$D$68</definedName>
    <definedName name="_Neo_1700_Cont_VochtExtra_14">NeoDataInfB!$D$69</definedName>
    <definedName name="_Neo_1700_Ent_Frequentie_1">NeoDataInfB!$D$70</definedName>
    <definedName name="_Neo_1700_Ent_Frequentie_2">NeoDataInfB!$D$71</definedName>
    <definedName name="_Neo_1700_Ent_Hoeveelheid_1">NeoDataInfB!$D$72</definedName>
    <definedName name="_Neo_1700_Ent_Hoeveelheid_2">NeoDataInfB!$D$73</definedName>
    <definedName name="_Neo_1700_Ent_PercentageKeuze_0">NeoDataInfB!$D$74</definedName>
    <definedName name="_Neo_1700_Ent_PercentageKeuze_1">NeoDataInfB!$D$75</definedName>
    <definedName name="_Neo_1700_Ent_PercentageKeuze_2">NeoDataInfB!$D$76</definedName>
    <definedName name="_Neo_1700_Ent_PercentageKeuze_3">NeoDataInfB!$D$77</definedName>
    <definedName name="_Neo_1700_Ent_PercentageKeuze_4">NeoDataInfB!$D$78</definedName>
    <definedName name="_Neo_1700_Ent_PercentageKeuze_5">NeoDataInfB!$D$79</definedName>
    <definedName name="_Neo_1700_Ent_PercentageKeuze_6">NeoDataInfB!$D$80</definedName>
    <definedName name="_Neo_1700_Ent_PercentageKeuze_7">NeoDataInfB!$D$81</definedName>
    <definedName name="_Neo_1700_Ent_PercentageKeuze_8">NeoDataInfB!$D$82</definedName>
    <definedName name="_Neo_1700_Ent_Toevoeging_1">NeoDataInfB!$D$83</definedName>
    <definedName name="_Neo_1700_Ent_Toevoeging_2">NeoDataInfB!$D$84</definedName>
    <definedName name="_Neo_1700_Ent_Toevoeging_3">NeoDataInfB!$D$85</definedName>
    <definedName name="_Neo_1700_Ent_Toevoeging_4">NeoDataInfB!$D$86</definedName>
    <definedName name="_Neo_1700_Ent_Toevoeging_5">NeoDataInfB!$D$87</definedName>
    <definedName name="_Neo_1700_Ent_Toevoeging_6">NeoDataInfB!$D$88</definedName>
    <definedName name="_Neo_1700_Ent_Toevoeging_7">NeoDataInfB!$D$89</definedName>
    <definedName name="_Neo_1700_Ent_Toevoeging_8">NeoDataInfB!$D$90</definedName>
    <definedName name="_Neo_1700_Ent_Voeding">NeoDataInfB!$D$91</definedName>
    <definedName name="_Neo_1700_TPN_CaCl2">NeoDataInfB!$D$92</definedName>
    <definedName name="_Neo_1700_TPN_DagKeuze">NeoDataInfB!$D$93</definedName>
    <definedName name="_Neo_1700_TPN_Fototherapie">NeoDataInfB!$D$94</definedName>
    <definedName name="_Neo_1700_TPN_GlucSterkte">NeoDataInfB!$D$95</definedName>
    <definedName name="_Neo_1700_TPN_IntakePerKg">NeoDataInfB!$D$96</definedName>
    <definedName name="_Neo_1700_TPN_IntraLipid">NeoDataInfB!$D$97</definedName>
    <definedName name="_Neo_1700_TPN_IntralipidSmof">NeoDataInfB!$D$98</definedName>
    <definedName name="_Neo_1700_TPN_KCl">NeoDataInfB!$D$99</definedName>
    <definedName name="_Neo_1700_TPN_MgCl2">NeoDataInfB!$D$100</definedName>
    <definedName name="_Neo_1700_TPN_Nacl">NeoDataInfB!$D$101</definedName>
    <definedName name="_Neo_1700_TPN_NICUMix">NeoDataInfB!$D$102</definedName>
    <definedName name="_Neo_1700_TPN_Parenteraal">NeoDataInfB!$D$103</definedName>
    <definedName name="_Neo_1700_TPN_Primene">NeoDataInfB!$D$104</definedName>
    <definedName name="_Neo_1700_TPN_SoluVit">NeoDataInfB!$D$105</definedName>
    <definedName name="_Neo_1700_TPN_SSTB">NeoDataInfB!$D$106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1">NeoDataInfB!$B$3</definedName>
    <definedName name="_Neo_InfB_Cont_MedKeuze_2">NeoDataInfB!$B$4</definedName>
    <definedName name="_Neo_InfB_Cont_MedKeuze_3">NeoDataInfB!$B$5</definedName>
    <definedName name="_Neo_InfB_Cont_MedKeuze_4">NeoDataInfB!$B$6</definedName>
    <definedName name="_Neo_InfB_Cont_MedKeuze_5">NeoDataInfB!$B$7</definedName>
    <definedName name="_Neo_InfB_Cont_MedKeuze_6">NeoDataInfB!$B$8</definedName>
    <definedName name="_Neo_InfB_Cont_MedKeuze_7">NeoDataInfB!$B$9</definedName>
    <definedName name="_Neo_InfB_Cont_MedKeuze_8">NeoDataInfB!$B$10</definedName>
    <definedName name="_Neo_InfB_Cont_MedKeuze_9">NeoDataInfB!$B$11</definedName>
    <definedName name="_Neo_InfB_Cont_MedSterkte_1">NeoDataInfB!$B$12</definedName>
    <definedName name="_Neo_InfB_Cont_MedSterkte_2">NeoDataInfB!$B$13</definedName>
    <definedName name="_Neo_InfB_Cont_MedSterkte_3">NeoDataInfB!$B$14</definedName>
    <definedName name="_Neo_InfB_Cont_MedSterkte_4">NeoDataInfB!$B$15</definedName>
    <definedName name="_Neo_InfB_Cont_MedSterkte_5">NeoDataInfB!$B$16</definedName>
    <definedName name="_Neo_InfB_Cont_MedSterkte_6">NeoDataInfB!$B$17</definedName>
    <definedName name="_Neo_InfB_Cont_MedSterkte_7">NeoDataInfB!$B$18</definedName>
    <definedName name="_Neo_InfB_Cont_MedSterkte_8">NeoDataInfB!$B$19</definedName>
    <definedName name="_Neo_InfB_Cont_MedSterkte_9">NeoDataInfB!$B$20</definedName>
    <definedName name="_Neo_InfB_Cont_MedTekst_1">NeoDataInfB!$B$21</definedName>
    <definedName name="_Neo_InfB_Cont_MedTekst_2">NeoDataInfB!$B$22</definedName>
    <definedName name="_Neo_InfB_Cont_OplHoev_1">NeoDataInfB!$B$23</definedName>
    <definedName name="_Neo_InfB_Cont_OplHoev_2">NeoDataInfB!$B$24</definedName>
    <definedName name="_Neo_InfB_Cont_OplHoev_3">NeoDataInfB!$B$25</definedName>
    <definedName name="_Neo_InfB_Cont_OplHoev_4">NeoDataInfB!$B$26</definedName>
    <definedName name="_Neo_InfB_Cont_OplHoev_5">NeoDataInfB!$B$27</definedName>
    <definedName name="_Neo_InfB_Cont_OplHoev_6">NeoDataInfB!$B$28</definedName>
    <definedName name="_Neo_InfB_Cont_OplHoev_7">NeoDataInfB!$B$29</definedName>
    <definedName name="_Neo_InfB_Cont_OplHoev_8">NeoDataInfB!$B$30</definedName>
    <definedName name="_Neo_InfB_Cont_OplHoev_9">NeoDataInfB!$B$31</definedName>
    <definedName name="_Neo_InfB_Cont_Oplossing_01">NeoDataInfB!$B$32</definedName>
    <definedName name="_Neo_InfB_Cont_Oplossing_02">NeoDataInfB!$B$33</definedName>
    <definedName name="_Neo_InfB_Cont_Oplossing_03">NeoDataInfB!$B$34</definedName>
    <definedName name="_Neo_InfB_Cont_Oplossing_04">NeoDataInfB!$B$35</definedName>
    <definedName name="_Neo_InfB_Cont_Oplossing_05">NeoDataInfB!$B$36</definedName>
    <definedName name="_Neo_InfB_Cont_Oplossing_06">NeoDataInfB!$B$37</definedName>
    <definedName name="_Neo_InfB_Cont_Oplossing_07">NeoDataInfB!$B$38</definedName>
    <definedName name="_Neo_InfB_Cont_Oplossing_08">NeoDataInfB!$B$39</definedName>
    <definedName name="_Neo_InfB_Cont_Oplossing_09">NeoDataInfB!$B$40</definedName>
    <definedName name="_Neo_InfB_Cont_Oplossing_10">NeoDataInfB!$B$41</definedName>
    <definedName name="_Neo_InfB_Cont_Oplossing_11">NeoDataInfB!$B$42</definedName>
    <definedName name="_Neo_InfB_Cont_Oplossing_12">NeoDataInfB!$B$43</definedName>
    <definedName name="_Neo_InfB_Cont_Stand_01">NeoDataInfB!$B$44</definedName>
    <definedName name="_Neo_InfB_Cont_Stand_02">NeoDataInfB!$B$45</definedName>
    <definedName name="_Neo_InfB_Cont_Stand_03">NeoDataInfB!$B$46</definedName>
    <definedName name="_Neo_InfB_Cont_Stand_04">NeoDataInfB!$B$47</definedName>
    <definedName name="_Neo_InfB_Cont_Stand_05">NeoDataInfB!$B$48</definedName>
    <definedName name="_Neo_InfB_Cont_Stand_06">NeoDataInfB!$B$49</definedName>
    <definedName name="_Neo_InfB_Cont_Stand_07">NeoDataInfB!$B$50</definedName>
    <definedName name="_Neo_InfB_Cont_Stand_08">NeoDataInfB!$B$51</definedName>
    <definedName name="_Neo_InfB_Cont_Stand_09">NeoDataInfB!$B$52</definedName>
    <definedName name="_Neo_InfB_Cont_Stand_10">NeoDataInfB!$B$53</definedName>
    <definedName name="_Neo_InfB_Cont_Stand_11">NeoDataInfB!$B$54</definedName>
    <definedName name="_Neo_InfB_Cont_Stand_12">NeoDataInfB!$B$55</definedName>
    <definedName name="_Neo_InfB_Cont_VochtExtra_01">NeoDataInfB!$B$56</definedName>
    <definedName name="_Neo_InfB_Cont_VochtExtra_02">NeoDataInfB!$B$57</definedName>
    <definedName name="_Neo_InfB_Cont_VochtExtra_03">NeoDataInfB!$B$58</definedName>
    <definedName name="_Neo_InfB_Cont_VochtExtra_04">NeoDataInfB!$B$59</definedName>
    <definedName name="_Neo_InfB_Cont_VochtExtra_05">NeoDataInfB!$B$60</definedName>
    <definedName name="_Neo_InfB_Cont_VochtExtra_06">NeoDataInfB!$B$61</definedName>
    <definedName name="_Neo_InfB_Cont_VochtExtra_07">NeoDataInfB!$B$62</definedName>
    <definedName name="_Neo_InfB_Cont_VochtExtra_08">NeoDataInfB!$B$63</definedName>
    <definedName name="_Neo_InfB_Cont_VochtExtra_09">NeoDataInfB!$B$64</definedName>
    <definedName name="_Neo_InfB_Cont_VochtExtra_10">NeoDataInfB!$B$65</definedName>
    <definedName name="_Neo_InfB_Cont_VochtExtra_11">NeoDataInfB!$B$66</definedName>
    <definedName name="_Neo_InfB_Cont_VochtExtra_12">NeoDataInfB!$B$67</definedName>
    <definedName name="_Neo_InfB_Cont_VochtExtra_13">NeoDataInfB!$B$68</definedName>
    <definedName name="_Neo_InfB_Cont_VochtExtra_14">NeoDataInfB!$B$69</definedName>
    <definedName name="_Neo_InfB_Ent_Frequentie_1">NeoDataInfB!$B$70</definedName>
    <definedName name="_Neo_InfB_Ent_Frequentie_2">NeoDataInfB!$B$71</definedName>
    <definedName name="_Neo_InfB_Ent_Hoeveelheid_1">NeoDataInfB!$B$72</definedName>
    <definedName name="_Neo_InfB_Ent_Hoeveelheid_2">NeoDataInfB!$B$73</definedName>
    <definedName name="_Neo_InfB_Ent_PercentageKeuze_0">NeoDataInfB!$B$74</definedName>
    <definedName name="_Neo_InfB_Ent_PercentageKeuze_1">NeoDataInfB!$B$75</definedName>
    <definedName name="_Neo_InfB_Ent_PercentageKeuze_2">NeoDataInfB!$B$76</definedName>
    <definedName name="_Neo_InfB_Ent_PercentageKeuze_3">NeoDataInfB!$B$77</definedName>
    <definedName name="_Neo_InfB_Ent_PercentageKeuze_4">NeoDataInfB!$B$78</definedName>
    <definedName name="_Neo_InfB_Ent_PercentageKeuze_5">NeoDataInfB!$B$79</definedName>
    <definedName name="_Neo_InfB_Ent_PercentageKeuze_6">NeoDataInfB!$B$80</definedName>
    <definedName name="_Neo_InfB_Ent_PercentageKeuze_7">NeoDataInfB!$B$81</definedName>
    <definedName name="_Neo_InfB_Ent_PercentageKeuze_8">NeoDataInfB!$B$82</definedName>
    <definedName name="_Neo_InfB_Ent_Toevoeging_1">NeoDataInfB!$B$83</definedName>
    <definedName name="_Neo_InfB_Ent_Toevoeging_2">NeoDataInfB!$B$84</definedName>
    <definedName name="_Neo_InfB_Ent_Toevoeging_3">NeoDataInfB!$B$85</definedName>
    <definedName name="_Neo_InfB_Ent_Toevoeging_4">NeoDataInfB!$B$86</definedName>
    <definedName name="_Neo_InfB_Ent_Toevoeging_5">NeoDataInfB!$B$87</definedName>
    <definedName name="_Neo_InfB_Ent_Toevoeging_6">NeoDataInfB!$B$88</definedName>
    <definedName name="_Neo_InfB_Ent_Toevoeging_7">NeoDataInfB!$B$89</definedName>
    <definedName name="_Neo_InfB_Ent_Toevoeging_8">NeoDataInfB!$B$90</definedName>
    <definedName name="_Neo_InfB_Ent_Voeding">NeoDataInfB!$B$91</definedName>
    <definedName name="_Neo_InfB_TPN_CaCl2">NeoDataInfB!$B$92</definedName>
    <definedName name="_Neo_InfB_TPN_DagKeuze">NeoDataInfB!$B$93</definedName>
    <definedName name="_Neo_InfB_TPN_Fototherapie">NeoDataInfB!$B$94</definedName>
    <definedName name="_Neo_InfB_TPN_GlucSterkte">NeoDataInfB!$B$95</definedName>
    <definedName name="_Neo_InfB_TPN_IntakePerKg">NeoDataInfB!$B$96</definedName>
    <definedName name="_Neo_InfB_TPN_IntraLipid">NeoDataInfB!$B$97</definedName>
    <definedName name="_Neo_InfB_TPN_IntralipidSmof">NeoDataInfB!$B$98</definedName>
    <definedName name="_Neo_InfB_TPN_KCl">NeoDataInfB!$B$99</definedName>
    <definedName name="_Neo_InfB_TPN_MgCl2">NeoDataInfB!$B$100</definedName>
    <definedName name="_Neo_InfB_TPN_Nacl">NeoDataInfB!$B$101</definedName>
    <definedName name="_Neo_InfB_TPN_NICUMix">NeoDataInfB!$B$102</definedName>
    <definedName name="_Neo_InfB_TPN_Parenteraal">NeoDataInfB!$B$103</definedName>
    <definedName name="_Neo_InfB_TPN_Primene">NeoDataInfB!$B$104</definedName>
    <definedName name="_Neo_InfB_TPN_SoluVit">NeoDataInfB!$B$105</definedName>
    <definedName name="_Neo_InfB_TPN_SSTB">NeoDataInfB!$B$106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PedBerEnt!$B$3</definedName>
    <definedName name="_Ped_Ent_Freq_2">PedBerEnt!$B$4</definedName>
    <definedName name="_Ped_Ent_Freq_3">PedBerEnt!$B$5</definedName>
    <definedName name="_Ped_Ent_Freq_4">PedBerEnt!$B$6</definedName>
    <definedName name="_Ped_Ent_Keuze_1">PedBerEnt!$F$3</definedName>
    <definedName name="_Ped_Ent_Keuze_2">PedBerEnt!$F$4</definedName>
    <definedName name="_Ped_Ent_Keuze_3">PedBerEnt!$F$5</definedName>
    <definedName name="_Ped_Ent_Keuze_4">PedBerEnt!$F$6</definedName>
    <definedName name="_Ped_Ent_Opm">PedBerEnt!$B$8</definedName>
    <definedName name="_Ped_Ent_Sonde">PedBerEnt!$G$3</definedName>
    <definedName name="_Ped_Ent_Vol_1">PedBerEnt!$C$3</definedName>
    <definedName name="_Ped_Ent_Vol_2">PedBerEnt!$C$4</definedName>
    <definedName name="_Ped_Ent_Vol_3">PedBerEnt!$C$5</definedName>
    <definedName name="_Ped_Ent_Vol_4">PedBerEnt!$C$6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GlobBerOpm!$B$4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PedBerMedIV!$C$28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GlobBerOpm!$B$3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60">NeoGuiAcuut!$B$2:$G$31</definedName>
    <definedName name="_xlnm.Print_Area" localSheetId="61">NeoPrtAfspr!$A$1:$Q$68</definedName>
    <definedName name="_xlnm.Print_Area" localSheetId="62">NeoPrtApoth!$A$1:$Q$63</definedName>
    <definedName name="_xlnm.Print_Area" localSheetId="54">NeoPrtMedDisc!$B$1:$AG$22</definedName>
    <definedName name="_xlnm.Print_Area" localSheetId="34">PedGuiAcuut!$B$2:$G$44</definedName>
    <definedName name="_xlnm.Print_Area" localSheetId="37">PedPrtAfspr!$A$2:$J$127</definedName>
    <definedName name="_xlnm.Print_Area" localSheetId="38">PedPrtMedDisc!$B$1:$AG$22</definedName>
    <definedName name="_xlnm.Print_Area" localSheetId="42">PedPrtTPN16tot30!$A$1:$H$48</definedName>
    <definedName name="_xlnm.Print_Area" localSheetId="40">PedPrtTPN2tot6!$A$1:$H$48</definedName>
    <definedName name="_xlnm.Print_Area" localSheetId="44">PedPrtTPN50!$A$1:$H$52</definedName>
    <definedName name="_xlnm.Print_Area" localSheetId="41">PedPrtTPN7tot15!$A$1:$H$50</definedName>
    <definedName name="_xlnm.Print_Area" localSheetId="43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ParEnt">GlobTblParEnt!$A$5:$M$42</definedName>
    <definedName name="tbl_Glob_Patient">PatData!$A$1:$B$775</definedName>
    <definedName name="tbl_Neo_Beds">GlobSettings!$E$2:$E$54</definedName>
    <definedName name="tbl_Neo_Dose">NeoTblLijst!#REF!</definedName>
    <definedName name="tbl_Neo_FaktorLijst">NeoTblLijst!#REF!</definedName>
    <definedName name="tbl_Neo_IntralipidSmof">NeoTblLijst!$F$2:$F$3</definedName>
    <definedName name="tbl_Neo_LijstToevoegingenKV">NeoTblLijst!#REF!</definedName>
    <definedName name="tbl_Neo_LijstToevoegingenMM">NeoTblLijst!#REF!</definedName>
    <definedName name="tbl_Neo_LijstVoeding">NeoTblLijst!#REF!</definedName>
    <definedName name="Tbl_Neo_MedIV">NeoTblMedIV!$B$3:$M$27</definedName>
    <definedName name="tbl_Neo_NutrBMFToev">NeoTblLijst!#REF!</definedName>
    <definedName name="tbl_Neo_NutrBMFWaard">NeoTblLijst!$C$2:$C$4</definedName>
    <definedName name="tbl_Neo_NutrKunstToev">NeoTblLijst!#REF!</definedName>
    <definedName name="tbl_Neo_NutrMMToev">NeoTblLijst!#REF!</definedName>
    <definedName name="tbl_Neo_NutrToevWaard">NeoTblLijst!$D$2:$D$12</definedName>
    <definedName name="Tbl_Neo_OplVlst">NeoTblLijst!$A$2:$A$17</definedName>
    <definedName name="tbl_Neo_OpzoektabelKV">NeoTblLijst!#REF!</definedName>
    <definedName name="tbl_Neo_OpzoektabelMM">NeoTblLijst!#REF!</definedName>
    <definedName name="tbl_Neo_OpzoektabelVoeding">NeoTblLijst!#REF!</definedName>
    <definedName name="Tbl_Neo_PoedKV">NeoTblEnt!$A$33:$M$37</definedName>
    <definedName name="Tbl_Neo_PoedMM">NeoTblEnt!$A$23:$M$30</definedName>
    <definedName name="tbl_Neo_Pos">NeoTblLijst!#REF!</definedName>
    <definedName name="tbl_Neo_ToevoegingenKVPrint">NeoTblLijst!#REF!</definedName>
    <definedName name="tbl_Neo_ToevoegingenMMPrint">NeoTblLijst!#REF!</definedName>
    <definedName name="tbl_Neo_TpnNICU">NeoTblLijst!#REF!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PedTblAfspr!$F$2:$F$6</definedName>
    <definedName name="tbl_Ped_LiquorDrain">PedTblAfspr!$J$2:$J$5</definedName>
    <definedName name="Tbl_Ped_MedContIV">PedTblMedIV!$B$4:$S$35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Poeder">PedTblEnt!$D$33:$Q$56</definedName>
    <definedName name="Tbl_Ped_SST">PedTblParEnt!$A$12:$M$26</definedName>
    <definedName name="Tbl_Ped_TPN">PedTblParEnt!$A$4:$M$10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Ped_Voeding">PedTblEnt!$D$4:$Q$28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Oplossing">PedTblMedIV!$U$4:$U$7</definedName>
    <definedName name="tblOpzoekenMedicatieIV">PedTblMedIV!$A$4:$B$35</definedName>
    <definedName name="tblPacemakerModus">PedTblIV!$F$2:$F$5</definedName>
    <definedName name="tblPacemakerPositie">PedTblIV!$E$2:$E$5</definedName>
    <definedName name="tblPerOs">PedTblEnt!#REF!</definedName>
    <definedName name="tblPO_poederlijst">PedTblEnt!#REF!</definedName>
    <definedName name="tblPoeder">PedTblEnt!#REF!</definedName>
    <definedName name="tblSonde">PedTblEnt!$A$2:$A$6</definedName>
    <definedName name="tblSSTGlucose">PedBerTPN!$K$27:$K$40</definedName>
    <definedName name="tblTijden">GlobBerMedDisc!$C$28:$D$39</definedName>
    <definedName name="tblTPN">PedBerTPN!$A$27:$I$28</definedName>
    <definedName name="tblVoedingBasislijst">GlobTblEnt!$A$2:$M$38</definedName>
    <definedName name="tblVoedingPO">PedTblEnt!#REF!</definedName>
    <definedName name="tblVoedingPoeder">GlobTblEnt!$A$44:$M$70</definedName>
    <definedName name="Txt_Neo_InfB_ContIV_01">NeoBerInfB!$AH$23</definedName>
    <definedName name="Txt_Neo_InfB_ContIV_02">NeoBerInfB!$AH$24</definedName>
    <definedName name="Txt_Neo_InfB_ContIV_03">NeoBerInfB!$AH$25</definedName>
    <definedName name="Txt_Neo_InfB_ContIV_04">NeoBerInfB!$AH$26</definedName>
    <definedName name="Txt_Neo_InfB_ContIV_05">NeoBerInfB!$AH$27</definedName>
    <definedName name="Txt_Neo_InfB_ContIV_06">NeoBerInfB!$AH$28</definedName>
    <definedName name="Txt_Neo_InfB_ContIV_07">NeoBerInfB!$AH$29</definedName>
    <definedName name="Txt_Neo_InfB_ContIV_08">NeoBerInfB!$AH$30</definedName>
    <definedName name="Txt_Neo_InfB_ContIV_09">NeoBerInfB!$AH$31</definedName>
    <definedName name="Txt_Neo_InfB_ContIV_10">NeoBerInfB!$AH$32</definedName>
    <definedName name="Txt_Neo_InfB_ContIV_11">NeoBerInfB!$AH$33</definedName>
    <definedName name="Txt_Neo_InfB_ContIV_12">NeoBerInfB!$AH$34</definedName>
    <definedName name="Txt_Neo_InfB_ContIV_13">NeoBerInfB!$AH$35</definedName>
    <definedName name="Txt_Neo_InfB_ContIV_14">NeoBerInfB!$AH$36</definedName>
    <definedName name="Txt_Neo_InfB_ContIV_15">NeoBerInfB!$AH$39</definedName>
    <definedName name="Txt_Neo_InfB_ContIV_16">NeoBerInfB!$AH$40</definedName>
    <definedName name="Txt_Neo_InfB_ContIV_17">NeoBerInfB!$AH$38</definedName>
    <definedName name="Txt_Neo_InfB_ContIV_18">NeoBerInfB!$AH$41</definedName>
    <definedName name="Txt_Neo_InfB_ContIV_19">NeoBerInfB!$AH$42</definedName>
    <definedName name="Txt_Neo_InfB_ContIV_20">NeoBerInfB!$AH$43</definedName>
    <definedName name="Txt_Neo_InfB_ContIV_21">NeoBerInfB!$AH$44</definedName>
    <definedName name="Txt_Neo_InfB_ContIV_22">NeoBerInfB!$AH$45</definedName>
    <definedName name="Txt_Neo_InfB_ContIV_23">NeoBerInfB!$AH$46</definedName>
    <definedName name="Txt_Neo_InfB_ContIV_24">NeoBerInfB!$AH$47</definedName>
    <definedName name="Txt_Neo_InfB_ContIV_25">NeoBerInfB!$AH$48</definedName>
    <definedName name="Txt_Neo_InfB_ContIV_26">NeoBerInfB!$AH$49</definedName>
    <definedName name="Txt_Neo_InfB_ContIV_27">NeoBerInfB!$AH$22</definedName>
    <definedName name="Txt_Neo_InfB_Voeding_01">NeoBerInfB!$AH$7</definedName>
    <definedName name="Txt_Neo_InfB_Voeding_02">NeoBerInfB!$AH$8</definedName>
    <definedName name="Txt_Neo_InfB_Voeding_03">NeoBerInfB!$AH$9</definedName>
    <definedName name="Txt_Neo_InfB_Voeding_04">NeoBerInfB!$AH$10</definedName>
    <definedName name="Txt_Neo_InfB_Voeding_05">NeoBerInfB!$AH$11</definedName>
    <definedName name="Txt_Neo_InfB_Voeding_06">NeoBerInfB!$AH$12</definedName>
    <definedName name="Txt_Neo_InfB_Voeding_07">NeoBerInfB!$AH$13</definedName>
    <definedName name="Txt_Neo_InfB_Voeding_08">NeoBerInfB!$AH$14</definedName>
    <definedName name="Txt_Neo_InfB_Voeding_09">NeoBerInfB!$AH$15</definedName>
    <definedName name="Txt_Neo_InfB_Voeding_10">NeoBerInfB!$AH$16</definedName>
    <definedName name="Txt_Neo_InfB_Voeding_11">NeoBerInfB!$AH$17</definedName>
    <definedName name="Txt_Neo_InfB_Voeding_12">NeoBerInfB!$AH$18</definedName>
    <definedName name="Txt_Neo_InfB_Voeding_13">NeoBerInfB!$AH$19</definedName>
    <definedName name="Txt_Neo_InfB_Voeding_14">NeoBerInfB!$AH$21</definedName>
    <definedName name="Txt_Neo_InfB_Voeding_15">NeoBerInfB!$AH$6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1">NeoBerInfB!$B$23</definedName>
    <definedName name="Var_Neo_InfB_Cont_MedKeuze_2">NeoBerInfB!$B$24</definedName>
    <definedName name="Var_Neo_InfB_Cont_MedKeuze_3">NeoBerInfB!$B$25</definedName>
    <definedName name="Var_Neo_InfB_Cont_MedKeuze_4">NeoBerInfB!$B$26</definedName>
    <definedName name="Var_Neo_InfB_Cont_MedKeuze_5">NeoBerInfB!$B$27</definedName>
    <definedName name="Var_Neo_InfB_Cont_MedKeuze_6">NeoBerInfB!$B$28</definedName>
    <definedName name="Var_Neo_InfB_Cont_MedKeuze_7">NeoBerInfB!$B$29</definedName>
    <definedName name="Var_Neo_InfB_Cont_MedKeuze_8">NeoBerInfB!$B$30</definedName>
    <definedName name="Var_Neo_InfB_Cont_MedKeuze_9">NeoBerInfB!$B$31</definedName>
    <definedName name="Var_Neo_InfB_Cont_MedSterkte_1">NeoBerInfB!$C$23</definedName>
    <definedName name="Var_Neo_InfB_Cont_MedSterkte_2">NeoBerInfB!$C$24</definedName>
    <definedName name="Var_Neo_InfB_Cont_MedSterkte_3">NeoBerInfB!$C$25</definedName>
    <definedName name="Var_Neo_InfB_Cont_MedSterkte_4">NeoBerInfB!$C$26</definedName>
    <definedName name="Var_Neo_InfB_Cont_MedSterkte_5">NeoBerInfB!$C$27</definedName>
    <definedName name="Var_Neo_InfB_Cont_MedSterkte_6">NeoBerInfB!$C$28</definedName>
    <definedName name="Var_Neo_InfB_Cont_MedSterkte_7">NeoBerInfB!$C$29</definedName>
    <definedName name="Var_Neo_InfB_Cont_MedSterkte_8">NeoBerInfB!$C$30</definedName>
    <definedName name="Var_Neo_InfB_Cont_MedSterkte_9">NeoBerInfB!$C$31</definedName>
    <definedName name="Var_Neo_InfB_Cont_MedTekst_1">NeoBerInfB!$B$35</definedName>
    <definedName name="Var_Neo_InfB_Cont_MedTekst_2">NeoBerInfB!$B$36</definedName>
    <definedName name="Var_Neo_InfB_Cont_OplHoev_1">NeoBerInfB!$D$23</definedName>
    <definedName name="Var_Neo_InfB_Cont_OplHoev_2">NeoBerInfB!$D$24</definedName>
    <definedName name="Var_Neo_InfB_Cont_OplHoev_3">NeoBerInfB!$D$25</definedName>
    <definedName name="Var_Neo_InfB_Cont_OplHoev_4">NeoBerInfB!$D$26</definedName>
    <definedName name="Var_Neo_InfB_Cont_OplHoev_5">NeoBerInfB!$D$27</definedName>
    <definedName name="Var_Neo_InfB_Cont_OplHoev_6">NeoBerInfB!$D$28</definedName>
    <definedName name="Var_Neo_InfB_Cont_OplHoev_7">NeoBerInfB!$D$29</definedName>
    <definedName name="Var_Neo_InfB_Cont_OplHoev_8">NeoBerInfB!$D$30</definedName>
    <definedName name="Var_Neo_InfB_Cont_OplHoev_9">NeoBerInfB!$D$31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VochtExtra_01">NeoBerInfB!$I$9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NeoBerInfB!$I$22</definedName>
    <definedName name="Var_Neo_InfB_Cont_VochtExtra_12">NeoBerInfB!$I$32</definedName>
    <definedName name="Var_Neo_InfB_Cont_VochtExtra_13">NeoBerInfB!$I$33</definedName>
    <definedName name="Var_Neo_InfB_Cont_VochtExtra_14">NeoBerInfB!$I$34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NeoBerInfB!$D$43</definedName>
    <definedName name="Var_Neo_InfB_TPN_DagKeuze">NeoBerInfB!$D$40</definedName>
    <definedName name="Var_Neo_InfB_TPN_Fototherapie">NeoBerInfB!$B$6</definedName>
    <definedName name="Var_Neo_InfB_TPN_GlucSterkte">NeoBerInfB!$D$49</definedName>
    <definedName name="Var_Neo_InfB_TPN_IntakePerKg">NeoBerInfB!$D$7</definedName>
    <definedName name="Var_Neo_InfB_TPN_IntraLipid">NeoBerInfB!$D$39</definedName>
    <definedName name="Var_Neo_InfB_TPN_IntralipidSmof">NeoBerInfB!$F$39</definedName>
    <definedName name="Var_Neo_InfB_TPN_KCl">NeoBerInfB!$D$42</definedName>
    <definedName name="Var_Neo_InfB_TPN_MgCl2">NeoBerInfB!$D$44</definedName>
    <definedName name="Var_Neo_InfB_TPN_Nacl">NeoBerInfB!$D$41</definedName>
    <definedName name="Var_Neo_InfB_TPN_NICUMix">NeoBerInfB!$D$47</definedName>
    <definedName name="Var_Neo_InfB_TPN_Parenteraal">NeoBerInfB!$B$21</definedName>
    <definedName name="Var_Neo_InfB_TPN_Primene">NeoBerInfB!$D$46</definedName>
    <definedName name="Var_Neo_InfB_TPN_SoluVit">NeoBerInfB!$D$45</definedName>
    <definedName name="Var_Neo_InfB_TPN_SSTB">NeoBerInfB!$D$48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Pat_OpnameDat">PatDetails!$B$15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10" hidden="1">GlobTemp!$A$2:$B$437</definedName>
    <definedName name="Z_33CCADFA_0D48_46A6_8927_2B2144029216_.wvu.FilterData" localSheetId="13" hidden="1">PatData!$A$1:$P$643</definedName>
    <definedName name="Z_33CCADFA_0D48_46A6_8927_2B2144029216_.wvu.PrintArea" localSheetId="60" hidden="1">NeoGuiAcuut!$B$2:$G$31</definedName>
    <definedName name="Z_33CCADFA_0D48_46A6_8927_2B2144029216_.wvu.PrintArea" localSheetId="54" hidden="1">NeoPrtMedDisc!$B$1:$AG$22</definedName>
    <definedName name="Z_33CCADFA_0D48_46A6_8927_2B2144029216_.wvu.PrintArea" localSheetId="34" hidden="1">PedGuiAcuut!$B$2:$G$44</definedName>
    <definedName name="Z_33CCADFA_0D48_46A6_8927_2B2144029216_.wvu.PrintArea" localSheetId="37" hidden="1">PedPrtAfspr!$A$2:$J$127</definedName>
    <definedName name="Z_33CCADFA_0D48_46A6_8927_2B2144029216_.wvu.PrintArea" localSheetId="38" hidden="1">PedPrtMedDisc!$B$1:$AG$22</definedName>
    <definedName name="Z_33CCADFA_0D48_46A6_8927_2B2144029216_.wvu.PrintArea" localSheetId="42" hidden="1">PedPrtTPN16tot30!$A$1:$H$48</definedName>
    <definedName name="Z_33CCADFA_0D48_46A6_8927_2B2144029216_.wvu.PrintArea" localSheetId="40" hidden="1">PedPrtTPN2tot6!$A$1:$H$48</definedName>
    <definedName name="Z_33CCADFA_0D48_46A6_8927_2B2144029216_.wvu.PrintArea" localSheetId="44" hidden="1">PedPrtTPN50!$A$1:$H$52</definedName>
    <definedName name="Z_33CCADFA_0D48_46A6_8927_2B2144029216_.wvu.PrintArea" localSheetId="41" hidden="1">PedPrtTPN7tot15!$A$1:$H$50</definedName>
    <definedName name="Z_33CCADFA_0D48_46A6_8927_2B2144029216_.wvu.PrintArea" localSheetId="43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E3" i="18" l="1"/>
  <c r="E4" i="18"/>
  <c r="E5" i="18"/>
  <c r="E6" i="18"/>
  <c r="E7" i="18"/>
  <c r="E2" i="18"/>
  <c r="B13" i="6"/>
  <c r="M27" i="80"/>
  <c r="M25" i="80"/>
  <c r="M19" i="80"/>
  <c r="M20" i="80"/>
  <c r="M21" i="80"/>
  <c r="M18" i="80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5" i="12"/>
  <c r="U6" i="12"/>
  <c r="V6" i="12"/>
  <c r="U7" i="12"/>
  <c r="V7" i="12"/>
  <c r="U8" i="12"/>
  <c r="V8" i="12"/>
  <c r="U9" i="12"/>
  <c r="V9" i="12"/>
  <c r="U10" i="12"/>
  <c r="V10" i="12"/>
  <c r="U11" i="12"/>
  <c r="V11" i="12"/>
  <c r="U12" i="12"/>
  <c r="V12" i="12"/>
  <c r="U13" i="12"/>
  <c r="V13" i="12"/>
  <c r="U14" i="12"/>
  <c r="V14" i="12"/>
  <c r="U15" i="12"/>
  <c r="V15" i="12"/>
  <c r="U16" i="12"/>
  <c r="V16" i="12"/>
  <c r="U17" i="12"/>
  <c r="V17" i="12"/>
  <c r="U18" i="12"/>
  <c r="V18" i="12"/>
  <c r="U19" i="12"/>
  <c r="V19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D36" i="11"/>
  <c r="E36" i="11"/>
  <c r="F36" i="1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C36" i="11"/>
  <c r="J27" i="74"/>
  <c r="I26" i="74"/>
  <c r="J26" i="74"/>
  <c r="H26" i="74"/>
  <c r="N49" i="45"/>
  <c r="AH33" i="45"/>
  <c r="AH34" i="45"/>
  <c r="AH32" i="45"/>
  <c r="N33" i="45"/>
  <c r="N34" i="45"/>
  <c r="N32" i="45"/>
  <c r="AH35" i="45"/>
  <c r="AH36" i="45"/>
  <c r="H19" i="45"/>
  <c r="H18" i="45"/>
  <c r="H17" i="45"/>
  <c r="H16" i="45"/>
  <c r="H15" i="45"/>
  <c r="H14" i="45"/>
  <c r="H13" i="45"/>
  <c r="H12" i="45"/>
  <c r="H11" i="45"/>
  <c r="AH6" i="45"/>
  <c r="AH22" i="45"/>
  <c r="AH24" i="45"/>
  <c r="AH25" i="45"/>
  <c r="AH26" i="45"/>
  <c r="AH27" i="45"/>
  <c r="AH28" i="45"/>
  <c r="AH29" i="45"/>
  <c r="AH30" i="45"/>
  <c r="AH31" i="45"/>
  <c r="G24" i="45"/>
  <c r="G25" i="45"/>
  <c r="G26" i="45"/>
  <c r="G27" i="45"/>
  <c r="G28" i="45"/>
  <c r="G29" i="45"/>
  <c r="G30" i="45"/>
  <c r="G31" i="45"/>
  <c r="G23" i="45"/>
  <c r="R9" i="45"/>
  <c r="L10" i="45"/>
  <c r="L9" i="45"/>
  <c r="L13" i="45"/>
  <c r="L14" i="45"/>
  <c r="L15" i="45"/>
  <c r="L17" i="45"/>
  <c r="L18" i="45"/>
  <c r="L19" i="45"/>
  <c r="M12" i="45"/>
  <c r="M13" i="45"/>
  <c r="M14" i="45"/>
  <c r="M15" i="45"/>
  <c r="M16" i="45"/>
  <c r="M17" i="45"/>
  <c r="M18" i="45"/>
  <c r="M19" i="45"/>
  <c r="M11" i="45"/>
  <c r="M9" i="45"/>
  <c r="AH9" i="45" s="1"/>
  <c r="F20" i="80"/>
  <c r="M24" i="45"/>
  <c r="M25" i="45"/>
  <c r="M26" i="45"/>
  <c r="M27" i="45"/>
  <c r="M28" i="45"/>
  <c r="M29" i="45"/>
  <c r="M30" i="45"/>
  <c r="M31" i="45"/>
  <c r="M32" i="45"/>
  <c r="M33" i="45"/>
  <c r="M34" i="45"/>
  <c r="M49" i="45"/>
  <c r="M41" i="45"/>
  <c r="M42" i="45"/>
  <c r="M43" i="45"/>
  <c r="M44" i="45"/>
  <c r="M45" i="45"/>
  <c r="M46" i="45"/>
  <c r="M48" i="45"/>
  <c r="P24" i="45"/>
  <c r="P25" i="45"/>
  <c r="P26" i="45"/>
  <c r="P27" i="45"/>
  <c r="P28" i="45"/>
  <c r="P29" i="45"/>
  <c r="P30" i="45"/>
  <c r="P31" i="45"/>
  <c r="P23" i="45"/>
  <c r="J24" i="45"/>
  <c r="K24" i="45"/>
  <c r="L24" i="45"/>
  <c r="N24" i="45"/>
  <c r="O24" i="45"/>
  <c r="Q24" i="45"/>
  <c r="J25" i="45"/>
  <c r="K25" i="45"/>
  <c r="L25" i="45"/>
  <c r="N25" i="45"/>
  <c r="O25" i="45"/>
  <c r="Q25" i="45"/>
  <c r="J26" i="45"/>
  <c r="K26" i="45"/>
  <c r="L26" i="45"/>
  <c r="N26" i="45"/>
  <c r="O26" i="45"/>
  <c r="Q26" i="45"/>
  <c r="J27" i="45"/>
  <c r="K27" i="45"/>
  <c r="L27" i="45"/>
  <c r="N27" i="45"/>
  <c r="O27" i="45"/>
  <c r="Q27" i="45"/>
  <c r="J28" i="45"/>
  <c r="K28" i="45"/>
  <c r="L28" i="45"/>
  <c r="N28" i="45"/>
  <c r="O28" i="45"/>
  <c r="Q28" i="45"/>
  <c r="J29" i="45"/>
  <c r="K29" i="45"/>
  <c r="L29" i="45"/>
  <c r="N29" i="45"/>
  <c r="O29" i="45"/>
  <c r="Q29" i="45"/>
  <c r="J30" i="45"/>
  <c r="K30" i="45"/>
  <c r="L30" i="45"/>
  <c r="N30" i="45"/>
  <c r="O30" i="45"/>
  <c r="Q30" i="45"/>
  <c r="J31" i="45"/>
  <c r="K31" i="45"/>
  <c r="L31" i="45"/>
  <c r="N31" i="45"/>
  <c r="O31" i="45"/>
  <c r="Q31" i="45"/>
  <c r="O23" i="45"/>
  <c r="N23" i="45"/>
  <c r="M23" i="45"/>
  <c r="L23" i="45"/>
  <c r="K23" i="45"/>
  <c r="J23" i="45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H23" i="45" l="1"/>
  <c r="E28" i="74"/>
  <c r="R22" i="45"/>
  <c r="H16" i="39"/>
  <c r="H24" i="45"/>
  <c r="H25" i="45"/>
  <c r="H26" i="45"/>
  <c r="H27" i="45"/>
  <c r="H28" i="45"/>
  <c r="H29" i="45"/>
  <c r="H30" i="45"/>
  <c r="H31" i="45"/>
  <c r="H23" i="45"/>
  <c r="D28" i="71"/>
  <c r="E28" i="71"/>
  <c r="F28" i="71" s="1"/>
  <c r="G28" i="71" s="1"/>
  <c r="H28" i="71" s="1"/>
  <c r="I28" i="71" s="1"/>
  <c r="J28" i="71" s="1"/>
  <c r="K28" i="71" s="1"/>
  <c r="L28" i="71" s="1"/>
  <c r="M28" i="71" s="1"/>
  <c r="C28" i="71"/>
  <c r="K3" i="39"/>
  <c r="B4" i="45"/>
  <c r="C4" i="45" s="1"/>
  <c r="M13" i="71"/>
  <c r="L5" i="71"/>
  <c r="L6" i="71"/>
  <c r="L7" i="71"/>
  <c r="L8" i="71"/>
  <c r="L9" i="71"/>
  <c r="L10" i="71"/>
  <c r="L11" i="71"/>
  <c r="L12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4" i="71"/>
  <c r="P3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5" i="11"/>
  <c r="M5" i="71"/>
  <c r="M6" i="71"/>
  <c r="M7" i="71"/>
  <c r="M8" i="71"/>
  <c r="M9" i="71"/>
  <c r="M10" i="71"/>
  <c r="M11" i="71"/>
  <c r="M12" i="71"/>
  <c r="M14" i="71"/>
  <c r="M15" i="71"/>
  <c r="M16" i="71"/>
  <c r="M17" i="71"/>
  <c r="M18" i="71"/>
  <c r="M19" i="71"/>
  <c r="M20" i="71"/>
  <c r="M21" i="71"/>
  <c r="M22" i="71"/>
  <c r="M23" i="71"/>
  <c r="M24" i="71"/>
  <c r="M25" i="71"/>
  <c r="M26" i="71"/>
  <c r="M27" i="71"/>
  <c r="M4" i="71"/>
  <c r="J18" i="20"/>
  <c r="J17" i="20"/>
  <c r="J16" i="20"/>
  <c r="J15" i="20"/>
  <c r="J14" i="20"/>
  <c r="J13" i="20"/>
  <c r="J12" i="20"/>
  <c r="J11" i="20"/>
  <c r="J10" i="20"/>
  <c r="B21" i="27"/>
  <c r="B20" i="27"/>
  <c r="B19" i="27"/>
  <c r="B18" i="27"/>
  <c r="K18" i="20" s="1"/>
  <c r="B17" i="27"/>
  <c r="K17" i="20" s="1"/>
  <c r="B16" i="27"/>
  <c r="K16" i="20" s="1"/>
  <c r="B15" i="27"/>
  <c r="K15" i="20" s="1"/>
  <c r="B14" i="27"/>
  <c r="K14" i="20" s="1"/>
  <c r="B13" i="27"/>
  <c r="K13" i="20" s="1"/>
  <c r="B12" i="27"/>
  <c r="K12" i="20" s="1"/>
  <c r="B11" i="27"/>
  <c r="K11" i="20" s="1"/>
  <c r="B10" i="27"/>
  <c r="K10" i="20" s="1"/>
  <c r="H8" i="27"/>
  <c r="B18" i="20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5" i="12"/>
  <c r="A5" i="11"/>
  <c r="A6" i="11" s="1"/>
  <c r="A7" i="11" s="1"/>
  <c r="I6" i="12"/>
  <c r="X6" i="12" s="1"/>
  <c r="I7" i="12"/>
  <c r="X7" i="12" s="1"/>
  <c r="I8" i="12"/>
  <c r="X8" i="12" s="1"/>
  <c r="I9" i="12"/>
  <c r="X9" i="12" s="1"/>
  <c r="I10" i="12"/>
  <c r="X10" i="12" s="1"/>
  <c r="I11" i="12"/>
  <c r="X11" i="12" s="1"/>
  <c r="I12" i="12"/>
  <c r="X12" i="12" s="1"/>
  <c r="I13" i="12"/>
  <c r="X13" i="12" s="1"/>
  <c r="I14" i="12"/>
  <c r="X14" i="12" s="1"/>
  <c r="I15" i="12"/>
  <c r="X15" i="12" s="1"/>
  <c r="I16" i="12"/>
  <c r="X16" i="12" s="1"/>
  <c r="I17" i="12"/>
  <c r="X17" i="12" s="1"/>
  <c r="I18" i="12"/>
  <c r="X18" i="12" s="1"/>
  <c r="I19" i="12"/>
  <c r="X19" i="12" s="1"/>
  <c r="H6" i="12"/>
  <c r="W6" i="12" s="1"/>
  <c r="H7" i="12"/>
  <c r="W7" i="12" s="1"/>
  <c r="H8" i="12"/>
  <c r="W8" i="12" s="1"/>
  <c r="H9" i="12"/>
  <c r="W9" i="12" s="1"/>
  <c r="H10" i="12"/>
  <c r="W10" i="12" s="1"/>
  <c r="H11" i="12"/>
  <c r="W11" i="12" s="1"/>
  <c r="H12" i="12"/>
  <c r="W12" i="12" s="1"/>
  <c r="H13" i="12"/>
  <c r="W13" i="12" s="1"/>
  <c r="H14" i="12"/>
  <c r="W14" i="12" s="1"/>
  <c r="H15" i="12"/>
  <c r="W15" i="12" s="1"/>
  <c r="H16" i="12"/>
  <c r="W16" i="12" s="1"/>
  <c r="H17" i="12"/>
  <c r="W17" i="12" s="1"/>
  <c r="H18" i="12"/>
  <c r="W18" i="12" s="1"/>
  <c r="H19" i="12"/>
  <c r="W19" i="12" s="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20" i="11"/>
  <c r="S21" i="11"/>
  <c r="S22" i="11"/>
  <c r="S23" i="11"/>
  <c r="S24" i="11"/>
  <c r="S25" i="11"/>
  <c r="S26" i="11"/>
  <c r="S28" i="11"/>
  <c r="S29" i="11"/>
  <c r="S30" i="11"/>
  <c r="S31" i="11"/>
  <c r="S32" i="11"/>
  <c r="S33" i="11"/>
  <c r="S34" i="11"/>
  <c r="S35" i="11"/>
  <c r="S5" i="11"/>
  <c r="P11" i="25"/>
  <c r="M12" i="25"/>
  <c r="L12" i="25"/>
  <c r="M9" i="25"/>
  <c r="M8" i="25"/>
  <c r="M7" i="25"/>
  <c r="M6" i="25"/>
  <c r="M5" i="25"/>
  <c r="L8" i="25"/>
  <c r="S19" i="11" s="1"/>
  <c r="L5" i="25"/>
  <c r="L3" i="25"/>
  <c r="F37" i="10"/>
  <c r="P25" i="12"/>
  <c r="O25" i="12"/>
  <c r="N25" i="12"/>
  <c r="P24" i="12"/>
  <c r="O24" i="12"/>
  <c r="N24" i="12"/>
  <c r="P23" i="12"/>
  <c r="O23" i="12"/>
  <c r="N23" i="12"/>
  <c r="P22" i="12"/>
  <c r="O22" i="12"/>
  <c r="N22" i="12"/>
  <c r="P21" i="12"/>
  <c r="O21" i="12"/>
  <c r="N21" i="12"/>
  <c r="P19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P11" i="12"/>
  <c r="O11" i="12"/>
  <c r="N11" i="12"/>
  <c r="P10" i="12"/>
  <c r="O10" i="12"/>
  <c r="N10" i="12"/>
  <c r="P9" i="12"/>
  <c r="O9" i="12"/>
  <c r="N9" i="12"/>
  <c r="P8" i="12"/>
  <c r="O8" i="12"/>
  <c r="N8" i="12"/>
  <c r="P7" i="12"/>
  <c r="O7" i="12"/>
  <c r="N7" i="12"/>
  <c r="P6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AA17" i="12" l="1"/>
  <c r="AA13" i="12"/>
  <c r="AA9" i="12"/>
  <c r="AA14" i="12"/>
  <c r="AA10" i="12"/>
  <c r="AA6" i="12"/>
  <c r="AA18" i="12"/>
  <c r="AA12" i="12"/>
  <c r="AA16" i="12"/>
  <c r="AA8" i="12"/>
  <c r="AA19" i="12"/>
  <c r="AA15" i="12"/>
  <c r="AA11" i="12"/>
  <c r="AA7" i="12"/>
  <c r="B48" i="45"/>
  <c r="B44" i="45"/>
  <c r="B7" i="45"/>
  <c r="B47" i="45"/>
  <c r="B43" i="45"/>
  <c r="B39" i="45"/>
  <c r="B46" i="45"/>
  <c r="B42" i="45"/>
  <c r="B45" i="45"/>
  <c r="B41" i="45"/>
  <c r="T22" i="45"/>
  <c r="X22" i="45"/>
  <c r="AB22" i="45"/>
  <c r="U22" i="45"/>
  <c r="Y22" i="45"/>
  <c r="AC22" i="45"/>
  <c r="V22" i="45"/>
  <c r="Z22" i="45"/>
  <c r="AD22" i="45"/>
  <c r="W22" i="45"/>
  <c r="AA22" i="45"/>
  <c r="S22" i="45"/>
  <c r="A8" i="11"/>
  <c r="S27" i="11"/>
  <c r="AG24" i="21"/>
  <c r="U7" i="21"/>
  <c r="U8" i="21"/>
  <c r="U9" i="21"/>
  <c r="U10" i="21"/>
  <c r="U11" i="21"/>
  <c r="U12" i="21"/>
  <c r="U14" i="21"/>
  <c r="U19" i="21"/>
  <c r="U20" i="21"/>
  <c r="U21" i="21"/>
  <c r="U22" i="21"/>
  <c r="S24" i="21"/>
  <c r="G22" i="21"/>
  <c r="G21" i="21"/>
  <c r="G15" i="21"/>
  <c r="G13" i="21"/>
  <c r="G8" i="21"/>
  <c r="G9" i="21"/>
  <c r="G10" i="21"/>
  <c r="G11" i="21"/>
  <c r="G7" i="21"/>
  <c r="G20" i="21"/>
  <c r="G6" i="21"/>
  <c r="G4" i="21"/>
  <c r="B14" i="81"/>
  <c r="C14" i="81"/>
  <c r="D14" i="81"/>
  <c r="E14" i="81"/>
  <c r="F14" i="81"/>
  <c r="G14" i="81"/>
  <c r="H14" i="81"/>
  <c r="I14" i="81"/>
  <c r="J14" i="81"/>
  <c r="K14" i="81"/>
  <c r="L14" i="81"/>
  <c r="M14" i="81"/>
  <c r="B15" i="81"/>
  <c r="C15" i="81"/>
  <c r="D15" i="81"/>
  <c r="E15" i="81"/>
  <c r="F15" i="81"/>
  <c r="G15" i="81"/>
  <c r="H15" i="81"/>
  <c r="I15" i="81"/>
  <c r="J15" i="81"/>
  <c r="K15" i="81"/>
  <c r="L15" i="81"/>
  <c r="M15" i="81"/>
  <c r="B16" i="81"/>
  <c r="C16" i="81"/>
  <c r="D16" i="81"/>
  <c r="E16" i="81"/>
  <c r="F16" i="81"/>
  <c r="G16" i="81"/>
  <c r="H16" i="81"/>
  <c r="I16" i="81"/>
  <c r="J16" i="81"/>
  <c r="K16" i="81"/>
  <c r="L16" i="81"/>
  <c r="M16" i="81"/>
  <c r="B17" i="81"/>
  <c r="C17" i="81"/>
  <c r="D17" i="81"/>
  <c r="E17" i="81"/>
  <c r="F17" i="81"/>
  <c r="G17" i="81"/>
  <c r="H17" i="81"/>
  <c r="I17" i="81"/>
  <c r="J17" i="81"/>
  <c r="K17" i="81"/>
  <c r="L17" i="81"/>
  <c r="M17" i="81"/>
  <c r="B18" i="81"/>
  <c r="C18" i="81"/>
  <c r="D18" i="81"/>
  <c r="E18" i="81"/>
  <c r="F18" i="81"/>
  <c r="G18" i="81"/>
  <c r="H18" i="81"/>
  <c r="I18" i="81"/>
  <c r="J18" i="81"/>
  <c r="K18" i="81"/>
  <c r="L18" i="81"/>
  <c r="M18" i="81"/>
  <c r="B19" i="81"/>
  <c r="C19" i="81"/>
  <c r="D19" i="81"/>
  <c r="E19" i="81"/>
  <c r="F19" i="81"/>
  <c r="G19" i="81"/>
  <c r="H19" i="81"/>
  <c r="I19" i="81"/>
  <c r="J19" i="81"/>
  <c r="K19" i="81"/>
  <c r="L19" i="81"/>
  <c r="M19" i="81"/>
  <c r="B20" i="81"/>
  <c r="C20" i="81"/>
  <c r="D20" i="81"/>
  <c r="E20" i="81"/>
  <c r="F20" i="81"/>
  <c r="G20" i="81"/>
  <c r="H20" i="81"/>
  <c r="I20" i="81"/>
  <c r="J20" i="81"/>
  <c r="K20" i="81"/>
  <c r="L20" i="81"/>
  <c r="M20" i="81"/>
  <c r="B21" i="81"/>
  <c r="C21" i="81"/>
  <c r="D21" i="81"/>
  <c r="E21" i="81"/>
  <c r="F21" i="81"/>
  <c r="G21" i="81"/>
  <c r="H21" i="81"/>
  <c r="I21" i="81"/>
  <c r="J21" i="81"/>
  <c r="K21" i="81"/>
  <c r="L21" i="81"/>
  <c r="M21" i="81"/>
  <c r="B22" i="81"/>
  <c r="C22" i="81"/>
  <c r="D22" i="81"/>
  <c r="E22" i="81"/>
  <c r="F22" i="81"/>
  <c r="G22" i="81"/>
  <c r="H22" i="81"/>
  <c r="I22" i="81"/>
  <c r="J22" i="81"/>
  <c r="K22" i="81"/>
  <c r="L22" i="81"/>
  <c r="M22" i="81"/>
  <c r="B23" i="81"/>
  <c r="C23" i="81"/>
  <c r="D23" i="81"/>
  <c r="E23" i="81"/>
  <c r="F23" i="81"/>
  <c r="G23" i="81"/>
  <c r="H23" i="81"/>
  <c r="I23" i="81"/>
  <c r="J23" i="81"/>
  <c r="K23" i="81"/>
  <c r="L23" i="81"/>
  <c r="M23" i="81"/>
  <c r="B24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C13" i="81"/>
  <c r="D13" i="81"/>
  <c r="E13" i="81"/>
  <c r="F13" i="81"/>
  <c r="G13" i="81"/>
  <c r="H13" i="81"/>
  <c r="I13" i="81"/>
  <c r="J13" i="81"/>
  <c r="K13" i="81"/>
  <c r="L13" i="81"/>
  <c r="M13" i="81"/>
  <c r="B13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C5" i="81"/>
  <c r="D5" i="81"/>
  <c r="E5" i="81"/>
  <c r="F5" i="81"/>
  <c r="G5" i="81"/>
  <c r="H5" i="81"/>
  <c r="I5" i="81"/>
  <c r="J5" i="81"/>
  <c r="K5" i="81"/>
  <c r="L5" i="81"/>
  <c r="M5" i="81"/>
  <c r="B5" i="81"/>
  <c r="B42" i="80"/>
  <c r="B7" i="80"/>
  <c r="B8" i="80"/>
  <c r="B9" i="80"/>
  <c r="B10" i="80"/>
  <c r="B11" i="80"/>
  <c r="B12" i="80"/>
  <c r="B13" i="80"/>
  <c r="B14" i="80"/>
  <c r="B15" i="80"/>
  <c r="B16" i="80"/>
  <c r="B17" i="80"/>
  <c r="B18" i="80"/>
  <c r="B19" i="80"/>
  <c r="B6" i="80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N3" i="27"/>
  <c r="O3" i="27"/>
  <c r="P3" i="27"/>
  <c r="Q3" i="27"/>
  <c r="R3" i="27"/>
  <c r="S3" i="27"/>
  <c r="T3" i="27"/>
  <c r="U3" i="27"/>
  <c r="V3" i="27"/>
  <c r="W3" i="27"/>
  <c r="X3" i="27"/>
  <c r="Y3" i="27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M6" i="27" s="1"/>
  <c r="D42" i="26"/>
  <c r="M5" i="27" s="1"/>
  <c r="D41" i="26"/>
  <c r="D40" i="26"/>
  <c r="M4" i="27" s="1"/>
  <c r="D39" i="26"/>
  <c r="D38" i="26"/>
  <c r="D37" i="26"/>
  <c r="D36" i="26"/>
  <c r="D35" i="26"/>
  <c r="D34" i="26"/>
  <c r="D28" i="26"/>
  <c r="M3" i="27" s="1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A9" i="11" l="1"/>
  <c r="O6" i="26"/>
  <c r="J5" i="26"/>
  <c r="M13" i="79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N4" i="27" s="1"/>
  <c r="J40" i="26"/>
  <c r="R4" i="27" s="1"/>
  <c r="N40" i="26"/>
  <c r="V4" i="27" s="1"/>
  <c r="F41" i="26"/>
  <c r="J41" i="26"/>
  <c r="N41" i="26"/>
  <c r="F42" i="26"/>
  <c r="N5" i="27" s="1"/>
  <c r="J42" i="26"/>
  <c r="R5" i="27" s="1"/>
  <c r="N42" i="26"/>
  <c r="V5" i="27" s="1"/>
  <c r="F43" i="26"/>
  <c r="N6" i="27" s="1"/>
  <c r="J43" i="26"/>
  <c r="R6" i="27" s="1"/>
  <c r="N43" i="26"/>
  <c r="V6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P4" i="27" s="1"/>
  <c r="L40" i="26"/>
  <c r="T4" i="27" s="1"/>
  <c r="T7" i="27" s="1"/>
  <c r="B28" i="24" s="1"/>
  <c r="P40" i="26"/>
  <c r="X4" i="27" s="1"/>
  <c r="H41" i="26"/>
  <c r="L41" i="26"/>
  <c r="P41" i="26"/>
  <c r="H42" i="26"/>
  <c r="P5" i="27" s="1"/>
  <c r="L42" i="26"/>
  <c r="T5" i="27" s="1"/>
  <c r="P42" i="26"/>
  <c r="X5" i="27" s="1"/>
  <c r="H43" i="26"/>
  <c r="P6" i="27" s="1"/>
  <c r="L43" i="26"/>
  <c r="T6" i="27" s="1"/>
  <c r="P43" i="26"/>
  <c r="X6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" i="27" s="1"/>
  <c r="Q40" i="26"/>
  <c r="Y4" i="27" s="1"/>
  <c r="M41" i="26"/>
  <c r="I42" i="26"/>
  <c r="Q5" i="27" s="1"/>
  <c r="Q42" i="26"/>
  <c r="Y5" i="27" s="1"/>
  <c r="M43" i="26"/>
  <c r="U6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S4" i="27" s="1"/>
  <c r="G41" i="26"/>
  <c r="O41" i="26"/>
  <c r="K42" i="26"/>
  <c r="S5" i="27" s="1"/>
  <c r="S7" i="27" s="1"/>
  <c r="B24" i="24" s="1"/>
  <c r="G43" i="26"/>
  <c r="O6" i="27" s="1"/>
  <c r="O43" i="26"/>
  <c r="W6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U4" i="27" s="1"/>
  <c r="I41" i="26"/>
  <c r="Q41" i="26"/>
  <c r="M42" i="26"/>
  <c r="U5" i="27" s="1"/>
  <c r="I43" i="26"/>
  <c r="Q6" i="27" s="1"/>
  <c r="Q43" i="26"/>
  <c r="Y6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O4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O5" i="27" s="1"/>
  <c r="K39" i="26"/>
  <c r="M35" i="26"/>
  <c r="K5" i="79"/>
  <c r="I8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W5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6" i="79"/>
  <c r="H6" i="79"/>
  <c r="L6" i="79"/>
  <c r="D7" i="79"/>
  <c r="H7" i="79"/>
  <c r="L7" i="79"/>
  <c r="D8" i="79"/>
  <c r="H8" i="79"/>
  <c r="L8" i="79"/>
  <c r="D9" i="79"/>
  <c r="H9" i="79"/>
  <c r="L9" i="79"/>
  <c r="D10" i="79"/>
  <c r="H10" i="79"/>
  <c r="L10" i="79"/>
  <c r="D11" i="79"/>
  <c r="H11" i="79"/>
  <c r="L11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6" i="79"/>
  <c r="F6" i="79"/>
  <c r="J6" i="79"/>
  <c r="B7" i="79"/>
  <c r="F7" i="79"/>
  <c r="J7" i="79"/>
  <c r="B8" i="79"/>
  <c r="F8" i="79"/>
  <c r="J8" i="79"/>
  <c r="B9" i="79"/>
  <c r="F9" i="79"/>
  <c r="J9" i="79"/>
  <c r="B10" i="79"/>
  <c r="F10" i="79"/>
  <c r="J10" i="79"/>
  <c r="B11" i="79"/>
  <c r="F11" i="79"/>
  <c r="J11" i="79"/>
  <c r="B12" i="79"/>
  <c r="F12" i="79"/>
  <c r="J12" i="79"/>
  <c r="B13" i="79"/>
  <c r="F13" i="79"/>
  <c r="J13" i="79"/>
  <c r="B14" i="79"/>
  <c r="F14" i="79"/>
  <c r="C6" i="79"/>
  <c r="G6" i="79"/>
  <c r="K6" i="79"/>
  <c r="C7" i="79"/>
  <c r="G7" i="79"/>
  <c r="K7" i="79"/>
  <c r="C8" i="79"/>
  <c r="G8" i="79"/>
  <c r="K8" i="79"/>
  <c r="C9" i="79"/>
  <c r="G9" i="79"/>
  <c r="K9" i="79"/>
  <c r="C10" i="79"/>
  <c r="G10" i="79"/>
  <c r="K10" i="79"/>
  <c r="C11" i="79"/>
  <c r="G11" i="79"/>
  <c r="K11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6" i="79"/>
  <c r="I7" i="79"/>
  <c r="M8" i="79"/>
  <c r="E10" i="79"/>
  <c r="I11" i="79"/>
  <c r="M12" i="79"/>
  <c r="E14" i="79"/>
  <c r="B15" i="79"/>
  <c r="J15" i="79"/>
  <c r="F16" i="79"/>
  <c r="B17" i="79"/>
  <c r="J17" i="79"/>
  <c r="F18" i="79"/>
  <c r="B19" i="79"/>
  <c r="J19" i="79"/>
  <c r="F20" i="79"/>
  <c r="C5" i="79"/>
  <c r="H5" i="79"/>
  <c r="L5" i="79"/>
  <c r="I6" i="79"/>
  <c r="M7" i="79"/>
  <c r="E9" i="79"/>
  <c r="I10" i="79"/>
  <c r="M11" i="79"/>
  <c r="E13" i="79"/>
  <c r="I14" i="79"/>
  <c r="E15" i="79"/>
  <c r="M15" i="79"/>
  <c r="I16" i="79"/>
  <c r="E17" i="79"/>
  <c r="M17" i="79"/>
  <c r="I18" i="79"/>
  <c r="E19" i="79"/>
  <c r="M19" i="79"/>
  <c r="I20" i="79"/>
  <c r="E5" i="79"/>
  <c r="I5" i="79"/>
  <c r="M5" i="79"/>
  <c r="M6" i="79"/>
  <c r="E8" i="79"/>
  <c r="I9" i="79"/>
  <c r="M10" i="79"/>
  <c r="E12" i="79"/>
  <c r="I13" i="79"/>
  <c r="J14" i="79"/>
  <c r="F15" i="79"/>
  <c r="B16" i="79"/>
  <c r="J16" i="79"/>
  <c r="F17" i="79"/>
  <c r="B18" i="79"/>
  <c r="J18" i="79"/>
  <c r="F19" i="79"/>
  <c r="B20" i="79"/>
  <c r="J20" i="79"/>
  <c r="F5" i="79"/>
  <c r="J5" i="79"/>
  <c r="B5" i="79"/>
  <c r="M9" i="79"/>
  <c r="M14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1" i="79"/>
  <c r="I15" i="79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7" i="79"/>
  <c r="I12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S6" i="27" s="1"/>
  <c r="O40" i="26"/>
  <c r="W4" i="27" s="1"/>
  <c r="W7" i="27" s="1"/>
  <c r="B37" i="24" s="1"/>
  <c r="G38" i="26"/>
  <c r="M16" i="79"/>
  <c r="M37" i="79"/>
  <c r="A3" i="78"/>
  <c r="A4" i="78"/>
  <c r="A5" i="78"/>
  <c r="A6" i="78"/>
  <c r="A7" i="78"/>
  <c r="A8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33" i="78"/>
  <c r="A34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7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0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A74" i="78"/>
  <c r="A75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C91" i="78" s="1"/>
  <c r="A92" i="78"/>
  <c r="A93" i="78"/>
  <c r="A94" i="78"/>
  <c r="A95" i="78"/>
  <c r="A96" i="78"/>
  <c r="A97" i="78"/>
  <c r="A98" i="78"/>
  <c r="A99" i="78"/>
  <c r="A100" i="78"/>
  <c r="A101" i="78"/>
  <c r="A102" i="78"/>
  <c r="A103" i="78"/>
  <c r="A104" i="78"/>
  <c r="A105" i="78"/>
  <c r="A106" i="78"/>
  <c r="A2" i="78"/>
  <c r="C68" i="78"/>
  <c r="F68" i="78"/>
  <c r="C69" i="78"/>
  <c r="F69" i="78"/>
  <c r="Y7" i="27" l="1"/>
  <c r="B41" i="24" s="1"/>
  <c r="P7" i="27"/>
  <c r="B6" i="24" s="1"/>
  <c r="V7" i="27"/>
  <c r="B34" i="24" s="1"/>
  <c r="O7" i="27"/>
  <c r="B10" i="24" s="1"/>
  <c r="R7" i="27"/>
  <c r="B18" i="24" s="1"/>
  <c r="U7" i="27"/>
  <c r="B31" i="24" s="1"/>
  <c r="Q7" i="27"/>
  <c r="B14" i="24" s="1"/>
  <c r="X7" i="27"/>
  <c r="B39" i="24" s="1"/>
  <c r="N7" i="27"/>
  <c r="A10" i="11"/>
  <c r="F91" i="78"/>
  <c r="F93" i="78"/>
  <c r="F94" i="78"/>
  <c r="F70" i="78"/>
  <c r="F71" i="78"/>
  <c r="F95" i="78"/>
  <c r="F72" i="78"/>
  <c r="F73" i="78"/>
  <c r="F96" i="78"/>
  <c r="F97" i="78"/>
  <c r="F98" i="78"/>
  <c r="F99" i="78"/>
  <c r="F3" i="78"/>
  <c r="F4" i="78"/>
  <c r="F5" i="78"/>
  <c r="F6" i="78"/>
  <c r="F7" i="78"/>
  <c r="F8" i="78"/>
  <c r="F9" i="78"/>
  <c r="F10" i="78"/>
  <c r="F11" i="78"/>
  <c r="F12" i="78"/>
  <c r="F13" i="78"/>
  <c r="F14" i="78"/>
  <c r="F15" i="78"/>
  <c r="F16" i="78"/>
  <c r="F17" i="78"/>
  <c r="F18" i="78"/>
  <c r="F19" i="78"/>
  <c r="F20" i="78"/>
  <c r="F21" i="78"/>
  <c r="F22" i="78"/>
  <c r="F100" i="78"/>
  <c r="F102" i="78"/>
  <c r="F23" i="78"/>
  <c r="F24" i="78"/>
  <c r="F25" i="78"/>
  <c r="F26" i="78"/>
  <c r="F27" i="78"/>
  <c r="F28" i="78"/>
  <c r="F29" i="78"/>
  <c r="F30" i="78"/>
  <c r="F31" i="78"/>
  <c r="F32" i="78"/>
  <c r="F33" i="78"/>
  <c r="F34" i="78"/>
  <c r="F35" i="78"/>
  <c r="F36" i="78"/>
  <c r="F37" i="78"/>
  <c r="F38" i="78"/>
  <c r="F39" i="78"/>
  <c r="F40" i="78"/>
  <c r="F41" i="78"/>
  <c r="F42" i="78"/>
  <c r="F43" i="78"/>
  <c r="F103" i="78"/>
  <c r="F74" i="78"/>
  <c r="F75" i="78"/>
  <c r="F76" i="78"/>
  <c r="F77" i="78"/>
  <c r="F78" i="78"/>
  <c r="F79" i="78"/>
  <c r="F80" i="78"/>
  <c r="F81" i="78"/>
  <c r="F82" i="78"/>
  <c r="F104" i="78"/>
  <c r="F105" i="78"/>
  <c r="F106" i="78"/>
  <c r="F44" i="78"/>
  <c r="F45" i="78"/>
  <c r="F46" i="78"/>
  <c r="F47" i="78"/>
  <c r="F48" i="78"/>
  <c r="F49" i="78"/>
  <c r="F50" i="78"/>
  <c r="F51" i="78"/>
  <c r="F52" i="78"/>
  <c r="F53" i="78"/>
  <c r="F54" i="78"/>
  <c r="F55" i="78"/>
  <c r="F83" i="78"/>
  <c r="F84" i="78"/>
  <c r="F85" i="78"/>
  <c r="F86" i="78"/>
  <c r="F87" i="78"/>
  <c r="F88" i="78"/>
  <c r="F89" i="78"/>
  <c r="F90" i="78"/>
  <c r="F92" i="78"/>
  <c r="F101" i="78"/>
  <c r="F56" i="78"/>
  <c r="F57" i="78"/>
  <c r="F58" i="78"/>
  <c r="F59" i="78"/>
  <c r="F60" i="78"/>
  <c r="F61" i="78"/>
  <c r="F62" i="78"/>
  <c r="F63" i="78"/>
  <c r="F64" i="78"/>
  <c r="F65" i="78"/>
  <c r="F66" i="78"/>
  <c r="F67" i="78"/>
  <c r="F2" i="78"/>
  <c r="A11" i="11" l="1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E60" i="33"/>
  <c r="B60" i="33"/>
  <c r="B59" i="33"/>
  <c r="B58" i="33"/>
  <c r="B57" i="33"/>
  <c r="B56" i="33"/>
  <c r="B55" i="33"/>
  <c r="B54" i="33"/>
  <c r="B53" i="33"/>
  <c r="B52" i="33"/>
  <c r="B51" i="33"/>
  <c r="B49" i="33"/>
  <c r="B47" i="33"/>
  <c r="I44" i="33"/>
  <c r="B44" i="33" s="1"/>
  <c r="P44" i="33" s="1"/>
  <c r="I43" i="33"/>
  <c r="B43" i="33" s="1"/>
  <c r="P43" i="33" s="1"/>
  <c r="I42" i="33"/>
  <c r="B42" i="33" s="1"/>
  <c r="P42" i="33" s="1"/>
  <c r="N41" i="33"/>
  <c r="B41" i="33"/>
  <c r="P41" i="33" s="1"/>
  <c r="N40" i="33"/>
  <c r="I40" i="33"/>
  <c r="B40" i="33"/>
  <c r="P40" i="33" s="1"/>
  <c r="N39" i="33"/>
  <c r="I39" i="33"/>
  <c r="B39" i="33"/>
  <c r="P39" i="33" s="1"/>
  <c r="N38" i="33"/>
  <c r="I38" i="33"/>
  <c r="B38" i="33"/>
  <c r="P38" i="33" s="1"/>
  <c r="N37" i="33"/>
  <c r="I37" i="33"/>
  <c r="B37" i="33"/>
  <c r="P37" i="33" s="1"/>
  <c r="N36" i="33"/>
  <c r="I36" i="33"/>
  <c r="B36" i="33"/>
  <c r="P36" i="33" s="1"/>
  <c r="B35" i="33"/>
  <c r="P35" i="33" s="1"/>
  <c r="B34" i="33"/>
  <c r="P34" i="33" s="1"/>
  <c r="N33" i="33"/>
  <c r="I33" i="33"/>
  <c r="B33" i="33"/>
  <c r="P33" i="33" s="1"/>
  <c r="B32" i="33"/>
  <c r="P32" i="33" s="1"/>
  <c r="H30" i="33"/>
  <c r="B30" i="33"/>
  <c r="B28" i="33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F17" i="33"/>
  <c r="B17" i="33"/>
  <c r="E16" i="33"/>
  <c r="B16" i="33"/>
  <c r="J13" i="33"/>
  <c r="G13" i="33"/>
  <c r="B13" i="33"/>
  <c r="B10" i="33"/>
  <c r="I9" i="33"/>
  <c r="B9" i="33"/>
  <c r="J5" i="33"/>
  <c r="B5" i="33"/>
  <c r="J4" i="33"/>
  <c r="B4" i="33"/>
  <c r="B3" i="33"/>
  <c r="A12" i="11" l="1"/>
  <c r="C93" i="78"/>
  <c r="C94" i="78"/>
  <c r="C70" i="78"/>
  <c r="C71" i="78"/>
  <c r="C95" i="78"/>
  <c r="C72" i="78"/>
  <c r="C73" i="78"/>
  <c r="C96" i="78"/>
  <c r="C97" i="78"/>
  <c r="C98" i="78"/>
  <c r="C99" i="78"/>
  <c r="C3" i="78"/>
  <c r="C4" i="78"/>
  <c r="C5" i="78"/>
  <c r="C6" i="78"/>
  <c r="C7" i="78"/>
  <c r="C8" i="78"/>
  <c r="C9" i="78"/>
  <c r="C10" i="78"/>
  <c r="C11" i="78"/>
  <c r="C12" i="78"/>
  <c r="C13" i="78"/>
  <c r="C14" i="78"/>
  <c r="C15" i="78"/>
  <c r="C16" i="78"/>
  <c r="C17" i="78"/>
  <c r="C18" i="78"/>
  <c r="C19" i="78"/>
  <c r="C20" i="78"/>
  <c r="C21" i="78"/>
  <c r="C22" i="78"/>
  <c r="C100" i="78"/>
  <c r="C102" i="78"/>
  <c r="C23" i="78"/>
  <c r="C24" i="78"/>
  <c r="C25" i="78"/>
  <c r="C26" i="78"/>
  <c r="C27" i="78"/>
  <c r="C28" i="78"/>
  <c r="C29" i="78"/>
  <c r="C30" i="78"/>
  <c r="C31" i="78"/>
  <c r="C32" i="78"/>
  <c r="C33" i="78"/>
  <c r="C34" i="78"/>
  <c r="C35" i="78"/>
  <c r="C36" i="78"/>
  <c r="C37" i="78"/>
  <c r="C38" i="78"/>
  <c r="C39" i="78"/>
  <c r="C40" i="78"/>
  <c r="C41" i="78"/>
  <c r="C42" i="78"/>
  <c r="C43" i="78"/>
  <c r="C103" i="78"/>
  <c r="C74" i="78"/>
  <c r="C75" i="78"/>
  <c r="C76" i="78"/>
  <c r="C77" i="78"/>
  <c r="C78" i="78"/>
  <c r="C79" i="78"/>
  <c r="C80" i="78"/>
  <c r="C81" i="78"/>
  <c r="C82" i="78"/>
  <c r="C104" i="78"/>
  <c r="C105" i="78"/>
  <c r="C106" i="78"/>
  <c r="C44" i="78"/>
  <c r="C45" i="78"/>
  <c r="C46" i="78"/>
  <c r="C47" i="78"/>
  <c r="C48" i="78"/>
  <c r="C49" i="78"/>
  <c r="C50" i="78"/>
  <c r="C51" i="78"/>
  <c r="C52" i="78"/>
  <c r="C53" i="78"/>
  <c r="C54" i="78"/>
  <c r="C55" i="78"/>
  <c r="C83" i="78"/>
  <c r="C84" i="78"/>
  <c r="C85" i="78"/>
  <c r="C86" i="78"/>
  <c r="C87" i="78"/>
  <c r="C88" i="78"/>
  <c r="C89" i="78"/>
  <c r="C90" i="78"/>
  <c r="C92" i="78"/>
  <c r="C101" i="78"/>
  <c r="C56" i="78"/>
  <c r="C57" i="78"/>
  <c r="C58" i="78"/>
  <c r="C59" i="78"/>
  <c r="C60" i="78"/>
  <c r="C61" i="78"/>
  <c r="C62" i="78"/>
  <c r="C63" i="78"/>
  <c r="C64" i="78"/>
  <c r="C65" i="78"/>
  <c r="C66" i="78"/>
  <c r="C67" i="78"/>
  <c r="C2" i="78"/>
  <c r="A13" i="11" l="1"/>
  <c r="M52" i="75"/>
  <c r="M54" i="75"/>
  <c r="M48" i="75"/>
  <c r="A14" i="11" l="1"/>
  <c r="M36" i="75"/>
  <c r="A15" i="11" l="1"/>
  <c r="M63" i="75"/>
  <c r="M62" i="75"/>
  <c r="M61" i="75"/>
  <c r="M60" i="75"/>
  <c r="M59" i="75"/>
  <c r="M58" i="75"/>
  <c r="M51" i="75"/>
  <c r="M53" i="75"/>
  <c r="M50" i="75"/>
  <c r="M46" i="75"/>
  <c r="M45" i="75"/>
  <c r="M44" i="75"/>
  <c r="M42" i="75"/>
  <c r="M39" i="75"/>
  <c r="M38" i="75"/>
  <c r="M37" i="75"/>
  <c r="M35" i="75"/>
  <c r="M34" i="75"/>
  <c r="M30" i="75"/>
  <c r="M29" i="75"/>
  <c r="M28" i="75"/>
  <c r="M27" i="75"/>
  <c r="M26" i="75"/>
  <c r="M22" i="75"/>
  <c r="M21" i="75"/>
  <c r="M20" i="75"/>
  <c r="M18" i="75"/>
  <c r="A16" i="11" l="1"/>
  <c r="M14" i="75"/>
  <c r="A17" i="11" l="1"/>
  <c r="M10" i="75"/>
  <c r="A18" i="11" l="1"/>
  <c r="M9" i="75"/>
  <c r="M8" i="75"/>
  <c r="M7" i="75"/>
  <c r="M6" i="75"/>
  <c r="M5" i="75"/>
  <c r="M4" i="75"/>
  <c r="M3" i="75"/>
  <c r="M15" i="75"/>
  <c r="M1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00" i="8"/>
  <c r="P5" i="12" l="1"/>
  <c r="N5" i="12"/>
  <c r="O26" i="12" s="1"/>
  <c r="A20" i="11"/>
  <c r="D2" i="58"/>
  <c r="I2" i="60"/>
  <c r="D43" i="58"/>
  <c r="M43" i="75" s="1"/>
  <c r="F3" i="18"/>
  <c r="F4" i="18"/>
  <c r="F5" i="18"/>
  <c r="F6" i="18"/>
  <c r="F7" i="18"/>
  <c r="F2" i="18"/>
  <c r="A21" i="11" l="1"/>
  <c r="C2" i="60"/>
  <c r="F9" i="18"/>
  <c r="E9" i="18"/>
  <c r="B19" i="24" s="1"/>
  <c r="G24" i="20"/>
  <c r="Q2" i="13"/>
  <c r="A22" i="11" l="1"/>
  <c r="E18" i="20"/>
  <c r="A23" i="11" l="1"/>
  <c r="I3" i="27"/>
  <c r="B9" i="20" s="1"/>
  <c r="H3" i="27"/>
  <c r="B12" i="20" s="1"/>
  <c r="H4" i="27"/>
  <c r="B14" i="20" s="1"/>
  <c r="H5" i="27"/>
  <c r="B15" i="20" s="1"/>
  <c r="H6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C19" i="24"/>
  <c r="A25" i="11" l="1"/>
  <c r="AP3" i="14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A26" i="11" l="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K2" i="17"/>
  <c r="B25" i="6"/>
  <c r="F4" i="60" s="1"/>
  <c r="B24" i="6"/>
  <c r="B23" i="6"/>
  <c r="F2" i="60" s="1"/>
  <c r="B18" i="6"/>
  <c r="B16" i="6"/>
  <c r="E3" i="60" s="1"/>
  <c r="B17" i="6"/>
  <c r="A28" i="11" l="1"/>
  <c r="J3" i="58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21" i="6"/>
  <c r="G2" i="13"/>
  <c r="A29" i="11" l="1"/>
  <c r="D3" i="58"/>
  <c r="C3" i="60"/>
  <c r="E3" i="17"/>
  <c r="E3" i="20"/>
  <c r="F3" i="10"/>
  <c r="G3" i="13"/>
  <c r="F2" i="10"/>
  <c r="B22" i="6"/>
  <c r="B19" i="6"/>
  <c r="C9" i="13"/>
  <c r="B15" i="6"/>
  <c r="A30" i="11" l="1"/>
  <c r="H2" i="58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M19" i="75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A31" i="11" l="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Z22" i="12"/>
  <c r="B27" i="10" s="1"/>
  <c r="AB22" i="12"/>
  <c r="E26" i="10" s="1"/>
  <c r="AC22" i="12"/>
  <c r="F26" i="10" s="1"/>
  <c r="AD22" i="12"/>
  <c r="G26" i="10" s="1"/>
  <c r="AE22" i="12"/>
  <c r="AF22" i="12"/>
  <c r="I26" i="10" s="1"/>
  <c r="AI22" i="12"/>
  <c r="Z23" i="12"/>
  <c r="B28" i="10" s="1"/>
  <c r="AB23" i="12"/>
  <c r="E27" i="10" s="1"/>
  <c r="AC23" i="12"/>
  <c r="F27" i="10" s="1"/>
  <c r="AD23" i="12"/>
  <c r="G27" i="10" s="1"/>
  <c r="AE23" i="12"/>
  <c r="AF23" i="12"/>
  <c r="I27" i="10" s="1"/>
  <c r="AI23" i="12"/>
  <c r="Z24" i="12"/>
  <c r="B29" i="10" s="1"/>
  <c r="AB24" i="12"/>
  <c r="E28" i="10" s="1"/>
  <c r="AC24" i="12"/>
  <c r="F28" i="10" s="1"/>
  <c r="AD24" i="12"/>
  <c r="G28" i="10" s="1"/>
  <c r="AE24" i="12"/>
  <c r="AF24" i="12"/>
  <c r="I28" i="10" s="1"/>
  <c r="AI24" i="12"/>
  <c r="Z25" i="12"/>
  <c r="AB25" i="12"/>
  <c r="E29" i="10" s="1"/>
  <c r="AC25" i="12"/>
  <c r="F29" i="10" s="1"/>
  <c r="AD25" i="12"/>
  <c r="G29" i="10" s="1"/>
  <c r="AE25" i="12"/>
  <c r="AF25" i="12"/>
  <c r="I29" i="10" s="1"/>
  <c r="AI25" i="12"/>
  <c r="AI21" i="12"/>
  <c r="AF21" i="12"/>
  <c r="I25" i="10" s="1"/>
  <c r="AE21" i="12"/>
  <c r="AC21" i="12"/>
  <c r="F25" i="10" s="1"/>
  <c r="AB21" i="12"/>
  <c r="E25" i="10" s="1"/>
  <c r="Z21" i="12"/>
  <c r="AD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I6" i="12"/>
  <c r="L10" i="10" s="1"/>
  <c r="AI7" i="12"/>
  <c r="L11" i="10" s="1"/>
  <c r="AI8" i="12"/>
  <c r="L12" i="10" s="1"/>
  <c r="AI9" i="12"/>
  <c r="L13" i="10" s="1"/>
  <c r="AI10" i="12"/>
  <c r="L14" i="10" s="1"/>
  <c r="AI11" i="12"/>
  <c r="L15" i="10" s="1"/>
  <c r="AI12" i="12"/>
  <c r="L16" i="10" s="1"/>
  <c r="AI13" i="12"/>
  <c r="L17" i="10" s="1"/>
  <c r="AI14" i="12"/>
  <c r="L18" i="10" s="1"/>
  <c r="AI15" i="12"/>
  <c r="L19" i="10" s="1"/>
  <c r="AI16" i="12"/>
  <c r="L20" i="10" s="1"/>
  <c r="AI17" i="12"/>
  <c r="L21" i="10" s="1"/>
  <c r="AI18" i="12"/>
  <c r="L22" i="10" s="1"/>
  <c r="AI19" i="12"/>
  <c r="L23" i="10" s="1"/>
  <c r="AI5" i="12"/>
  <c r="L9" i="10" s="1"/>
  <c r="AF6" i="12"/>
  <c r="I10" i="10" s="1"/>
  <c r="AF7" i="12"/>
  <c r="I11" i="10" s="1"/>
  <c r="AF8" i="12"/>
  <c r="I12" i="10" s="1"/>
  <c r="AF9" i="12"/>
  <c r="I13" i="10" s="1"/>
  <c r="AF10" i="12"/>
  <c r="I14" i="10" s="1"/>
  <c r="AF11" i="12"/>
  <c r="I15" i="10" s="1"/>
  <c r="AF12" i="12"/>
  <c r="I16" i="10" s="1"/>
  <c r="AF13" i="12"/>
  <c r="I17" i="10" s="1"/>
  <c r="AF14" i="12"/>
  <c r="I18" i="10" s="1"/>
  <c r="AF15" i="12"/>
  <c r="I19" i="10" s="1"/>
  <c r="AF16" i="12"/>
  <c r="I20" i="10" s="1"/>
  <c r="AF17" i="12"/>
  <c r="I21" i="10" s="1"/>
  <c r="AF18" i="12"/>
  <c r="I22" i="10" s="1"/>
  <c r="AF19" i="12"/>
  <c r="I23" i="10" s="1"/>
  <c r="AF5" i="12"/>
  <c r="I9" i="10" s="1"/>
  <c r="Z6" i="12"/>
  <c r="B10" i="10" s="1"/>
  <c r="AE6" i="12"/>
  <c r="Z7" i="12"/>
  <c r="B11" i="10" s="1"/>
  <c r="AE7" i="12"/>
  <c r="Z8" i="12"/>
  <c r="B12" i="10" s="1"/>
  <c r="AE8" i="12"/>
  <c r="Z9" i="12"/>
  <c r="B13" i="10" s="1"/>
  <c r="AE9" i="12"/>
  <c r="Z10" i="12"/>
  <c r="B14" i="10" s="1"/>
  <c r="AE10" i="12"/>
  <c r="Z11" i="12"/>
  <c r="B15" i="10" s="1"/>
  <c r="AE11" i="12"/>
  <c r="Z12" i="12"/>
  <c r="B16" i="10" s="1"/>
  <c r="AE12" i="12"/>
  <c r="Z13" i="12"/>
  <c r="B17" i="10" s="1"/>
  <c r="AE13" i="12"/>
  <c r="Z14" i="12"/>
  <c r="B18" i="10" s="1"/>
  <c r="AE14" i="12"/>
  <c r="Z15" i="12"/>
  <c r="B19" i="10" s="1"/>
  <c r="AE15" i="12"/>
  <c r="Z16" i="12"/>
  <c r="B20" i="10" s="1"/>
  <c r="AE16" i="12"/>
  <c r="Z17" i="12"/>
  <c r="B21" i="10" s="1"/>
  <c r="AE17" i="12"/>
  <c r="Z18" i="12"/>
  <c r="B22" i="10" s="1"/>
  <c r="AE18" i="12"/>
  <c r="Z19" i="12"/>
  <c r="B23" i="10" s="1"/>
  <c r="AE19" i="12"/>
  <c r="AE5" i="12"/>
  <c r="Z5" i="12"/>
  <c r="B9" i="10" s="1"/>
  <c r="A32" i="11" l="1"/>
  <c r="B25" i="10"/>
  <c r="B26" i="10"/>
  <c r="M19" i="12"/>
  <c r="Q15" i="12"/>
  <c r="R15" i="12"/>
  <c r="S15" i="12"/>
  <c r="Q16" i="12"/>
  <c r="R16" i="12"/>
  <c r="S16" i="12"/>
  <c r="Q17" i="12"/>
  <c r="R17" i="12"/>
  <c r="S17" i="12"/>
  <c r="T17" i="12"/>
  <c r="R18" i="12"/>
  <c r="T18" i="12"/>
  <c r="Q19" i="12"/>
  <c r="R19" i="12"/>
  <c r="T19" i="12"/>
  <c r="A33" i="11" l="1"/>
  <c r="S19" i="12"/>
  <c r="M15" i="12"/>
  <c r="M18" i="12"/>
  <c r="M17" i="12"/>
  <c r="M16" i="12"/>
  <c r="A34" i="11" l="1"/>
  <c r="T15" i="12"/>
  <c r="T16" i="12"/>
  <c r="Q18" i="12"/>
  <c r="S18" i="12"/>
  <c r="B20" i="6"/>
  <c r="E4" i="60" s="1"/>
  <c r="A35" i="11" l="1"/>
  <c r="I4" i="10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74"/>
  <c r="F5" i="21"/>
  <c r="U5" i="21" s="1"/>
  <c r="F4" i="21"/>
  <c r="U4" i="21" s="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R35" i="11"/>
  <c r="Q35" i="11"/>
  <c r="R34" i="11"/>
  <c r="Q34" i="11"/>
  <c r="R33" i="11"/>
  <c r="Q33" i="11"/>
  <c r="R32" i="11"/>
  <c r="Q32" i="11"/>
  <c r="R31" i="11"/>
  <c r="Q31" i="11"/>
  <c r="R30" i="11"/>
  <c r="Q30" i="11"/>
  <c r="R29" i="11"/>
  <c r="Q29" i="11"/>
  <c r="R28" i="11"/>
  <c r="Q28" i="11"/>
  <c r="R27" i="11"/>
  <c r="Q27" i="11"/>
  <c r="R26" i="11"/>
  <c r="Q26" i="11"/>
  <c r="R25" i="11"/>
  <c r="Q25" i="11"/>
  <c r="R24" i="11"/>
  <c r="Q24" i="11"/>
  <c r="R23" i="11"/>
  <c r="Q23" i="11"/>
  <c r="R22" i="11"/>
  <c r="Q22" i="11"/>
  <c r="R21" i="11"/>
  <c r="Q21" i="11"/>
  <c r="R20" i="11"/>
  <c r="Q20" i="11"/>
  <c r="R19" i="11"/>
  <c r="Q19" i="11"/>
  <c r="R18" i="11"/>
  <c r="Q18" i="11"/>
  <c r="R17" i="11"/>
  <c r="Q17" i="11"/>
  <c r="R16" i="11"/>
  <c r="Q16" i="11"/>
  <c r="R15" i="11"/>
  <c r="Q15" i="11"/>
  <c r="C20" i="10" s="1"/>
  <c r="R14" i="11"/>
  <c r="Q14" i="11"/>
  <c r="C19" i="10" s="1"/>
  <c r="R13" i="11"/>
  <c r="I13" i="11"/>
  <c r="G13" i="11"/>
  <c r="E13" i="11"/>
  <c r="R12" i="11"/>
  <c r="I12" i="11"/>
  <c r="G12" i="11"/>
  <c r="E12" i="11"/>
  <c r="R11" i="11"/>
  <c r="Q11" i="11"/>
  <c r="C14" i="10" s="1"/>
  <c r="R10" i="11"/>
  <c r="Q10" i="11"/>
  <c r="C13" i="10" s="1"/>
  <c r="R9" i="11"/>
  <c r="Q9" i="11"/>
  <c r="R8" i="11"/>
  <c r="Q8" i="11"/>
  <c r="C11" i="10" s="1"/>
  <c r="R7" i="11"/>
  <c r="Q7" i="11"/>
  <c r="C10" i="10" s="1"/>
  <c r="R6" i="11"/>
  <c r="Q6" i="11"/>
  <c r="C17" i="10" s="1"/>
  <c r="R5" i="11"/>
  <c r="Q5" i="11"/>
  <c r="F18" i="19"/>
  <c r="M3" i="33"/>
  <c r="I4" i="21" l="1"/>
  <c r="W4" i="21" s="1"/>
  <c r="M4" i="21"/>
  <c r="AA4" i="21" s="1"/>
  <c r="Q4" i="21"/>
  <c r="AE4" i="21" s="1"/>
  <c r="K4" i="21"/>
  <c r="Y4" i="21" s="1"/>
  <c r="O4" i="21"/>
  <c r="AC4" i="21" s="1"/>
  <c r="S4" i="21"/>
  <c r="AG4" i="21" s="1"/>
  <c r="J4" i="21"/>
  <c r="X4" i="21" s="1"/>
  <c r="L4" i="21"/>
  <c r="Z4" i="21" s="1"/>
  <c r="H4" i="21"/>
  <c r="V4" i="21" s="1"/>
  <c r="R4" i="21"/>
  <c r="AF4" i="21" s="1"/>
  <c r="N4" i="21"/>
  <c r="AB4" i="21" s="1"/>
  <c r="P4" i="21"/>
  <c r="AD4" i="21" s="1"/>
  <c r="H5" i="21"/>
  <c r="V5" i="21" s="1"/>
  <c r="L5" i="21"/>
  <c r="Z5" i="21" s="1"/>
  <c r="P5" i="21"/>
  <c r="AD5" i="21" s="1"/>
  <c r="I5" i="21"/>
  <c r="W5" i="21" s="1"/>
  <c r="M5" i="21"/>
  <c r="AA5" i="21" s="1"/>
  <c r="Q5" i="21"/>
  <c r="AE5" i="21" s="1"/>
  <c r="J5" i="21"/>
  <c r="X5" i="21" s="1"/>
  <c r="N5" i="21"/>
  <c r="AB5" i="21" s="1"/>
  <c r="R5" i="21"/>
  <c r="AF5" i="21" s="1"/>
  <c r="K5" i="21"/>
  <c r="Y5" i="21" s="1"/>
  <c r="O5" i="21"/>
  <c r="AC5" i="21" s="1"/>
  <c r="S5" i="21"/>
  <c r="AG5" i="21" s="1"/>
  <c r="AD18" i="12"/>
  <c r="G22" i="10" s="1"/>
  <c r="C22" i="10"/>
  <c r="C23" i="10"/>
  <c r="C21" i="10"/>
  <c r="C18" i="10"/>
  <c r="C16" i="10"/>
  <c r="C15" i="10"/>
  <c r="F24" i="20"/>
  <c r="D25" i="3"/>
  <c r="D8" i="3"/>
  <c r="E25" i="3"/>
  <c r="E24" i="3"/>
  <c r="Q12" i="11"/>
  <c r="C12" i="10" s="1"/>
  <c r="Q13" i="11"/>
  <c r="G17" i="32"/>
  <c r="D1" i="33"/>
  <c r="N1" i="38"/>
  <c r="N2" i="38"/>
  <c r="B4" i="32"/>
  <c r="B4" i="31"/>
  <c r="B4" i="30"/>
  <c r="B6" i="28"/>
  <c r="B6" i="29"/>
  <c r="D4" i="5"/>
  <c r="D5" i="56"/>
  <c r="J2" i="50"/>
  <c r="C15" i="39"/>
  <c r="M2" i="10"/>
  <c r="F23" i="10" l="1"/>
  <c r="F19" i="10"/>
  <c r="F20" i="10"/>
  <c r="F21" i="10"/>
  <c r="F22" i="10"/>
  <c r="AD19" i="12"/>
  <c r="G23" i="10" s="1"/>
  <c r="AD17" i="12"/>
  <c r="G21" i="10" s="1"/>
  <c r="AD16" i="12"/>
  <c r="G20" i="10" s="1"/>
  <c r="AD15" i="12"/>
  <c r="G19" i="10" s="1"/>
  <c r="L25" i="12"/>
  <c r="K25" i="12"/>
  <c r="L24" i="12"/>
  <c r="K24" i="12"/>
  <c r="L23" i="12"/>
  <c r="K23" i="12"/>
  <c r="L22" i="12"/>
  <c r="K22" i="12"/>
  <c r="L21" i="12"/>
  <c r="K21" i="12"/>
  <c r="AG25" i="12" l="1"/>
  <c r="J29" i="10" s="1"/>
  <c r="AG22" i="12"/>
  <c r="J26" i="10" s="1"/>
  <c r="AG23" i="12"/>
  <c r="J27" i="10" s="1"/>
  <c r="AG24" i="12"/>
  <c r="J28" i="10" s="1"/>
  <c r="AG21" i="12"/>
  <c r="J25" i="10" s="1"/>
  <c r="D4" i="56"/>
  <c r="H3" i="56"/>
  <c r="D3" i="56"/>
  <c r="H2" i="56"/>
  <c r="I2" i="56" l="1"/>
  <c r="D2" i="56"/>
  <c r="H4" i="56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C23" i="16" l="1"/>
  <c r="C32" i="16"/>
  <c r="AA22" i="14"/>
  <c r="C42" i="9" s="1"/>
  <c r="P61" i="38"/>
  <c r="J61" i="38"/>
  <c r="D61" i="38"/>
  <c r="D50" i="38"/>
  <c r="B43" i="38"/>
  <c r="A39" i="45" l="1"/>
  <c r="F16" i="21" l="1"/>
  <c r="U16" i="21" s="1"/>
  <c r="D16" i="21"/>
  <c r="H16" i="21" l="1"/>
  <c r="V16" i="21" s="1"/>
  <c r="L16" i="21"/>
  <c r="Z16" i="21" s="1"/>
  <c r="P16" i="21"/>
  <c r="AD16" i="21" s="1"/>
  <c r="J16" i="21"/>
  <c r="X16" i="21" s="1"/>
  <c r="N16" i="21"/>
  <c r="AB16" i="21" s="1"/>
  <c r="R16" i="21"/>
  <c r="AF16" i="21" s="1"/>
  <c r="O16" i="21"/>
  <c r="AC16" i="21" s="1"/>
  <c r="K16" i="21"/>
  <c r="Y16" i="21" s="1"/>
  <c r="S16" i="21"/>
  <c r="AG16" i="21" s="1"/>
  <c r="M16" i="21"/>
  <c r="AA16" i="21" s="1"/>
  <c r="I16" i="21"/>
  <c r="W16" i="21" s="1"/>
  <c r="Q16" i="21"/>
  <c r="AE16" i="21" s="1"/>
  <c r="B56" i="52"/>
  <c r="C10" i="50"/>
  <c r="C32" i="39" l="1"/>
  <c r="E33" i="33" s="1"/>
  <c r="I33" i="39"/>
  <c r="I34" i="39"/>
  <c r="I35" i="39"/>
  <c r="I36" i="39"/>
  <c r="I37" i="39"/>
  <c r="I38" i="39"/>
  <c r="I39" i="39"/>
  <c r="I40" i="39"/>
  <c r="I32" i="39"/>
  <c r="J8" i="50" l="1"/>
  <c r="K19" i="45"/>
  <c r="AH19" i="45" s="1"/>
  <c r="K18" i="45"/>
  <c r="AH18" i="45" s="1"/>
  <c r="K17" i="45"/>
  <c r="AH17" i="45" s="1"/>
  <c r="K16" i="45"/>
  <c r="K15" i="45"/>
  <c r="AH15" i="45" s="1"/>
  <c r="K14" i="45"/>
  <c r="AH14" i="45" s="1"/>
  <c r="K13" i="45"/>
  <c r="AH13" i="45" s="1"/>
  <c r="K12" i="45"/>
  <c r="K11" i="45"/>
  <c r="B60" i="52" l="1"/>
  <c r="H16" i="74" l="1"/>
  <c r="C6" i="74"/>
  <c r="A50" i="74"/>
  <c r="J50" i="74" s="1"/>
  <c r="K37" i="38" s="1"/>
  <c r="A47" i="74"/>
  <c r="C47" i="74" s="1"/>
  <c r="A44" i="74"/>
  <c r="J44" i="74" s="1"/>
  <c r="K29" i="38" s="1"/>
  <c r="A41" i="74"/>
  <c r="H41" i="74" s="1"/>
  <c r="I25" i="38" s="1"/>
  <c r="A38" i="74"/>
  <c r="J38" i="74" s="1"/>
  <c r="K21" i="38" s="1"/>
  <c r="A35" i="74"/>
  <c r="C35" i="74" s="1"/>
  <c r="A32" i="74"/>
  <c r="J32" i="74" s="1"/>
  <c r="K13" i="38" s="1"/>
  <c r="A29" i="74"/>
  <c r="H29" i="74" s="1"/>
  <c r="I9" i="38" s="1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G37" i="38" s="1"/>
  <c r="F47" i="74"/>
  <c r="G33" i="38" s="1"/>
  <c r="F44" i="74"/>
  <c r="G29" i="38" s="1"/>
  <c r="F41" i="74"/>
  <c r="G25" i="38" s="1"/>
  <c r="F38" i="74"/>
  <c r="G21" i="38" s="1"/>
  <c r="F35" i="74"/>
  <c r="G17" i="38" s="1"/>
  <c r="F32" i="74"/>
  <c r="G13" i="38" s="1"/>
  <c r="F29" i="74"/>
  <c r="G9" i="38" s="1"/>
  <c r="F26" i="74"/>
  <c r="G5" i="38" s="1"/>
  <c r="O22" i="74"/>
  <c r="O21" i="74"/>
  <c r="O20" i="74"/>
  <c r="M2" i="74"/>
  <c r="I2" i="74"/>
  <c r="C2" i="74"/>
  <c r="D33" i="38" l="1"/>
  <c r="B33" i="38"/>
  <c r="D17" i="38"/>
  <c r="B17" i="38"/>
  <c r="D5" i="38"/>
  <c r="B5" i="38"/>
  <c r="M34" i="74"/>
  <c r="N34" i="74" s="1"/>
  <c r="D21" i="74"/>
  <c r="E29" i="74"/>
  <c r="C44" i="74"/>
  <c r="M46" i="74"/>
  <c r="N46" i="74" s="1"/>
  <c r="M40" i="74"/>
  <c r="N40" i="74" s="1"/>
  <c r="C38" i="74"/>
  <c r="H38" i="74"/>
  <c r="I21" i="38" s="1"/>
  <c r="E32" i="74"/>
  <c r="H32" i="74"/>
  <c r="I13" i="38" s="1"/>
  <c r="E44" i="74"/>
  <c r="C50" i="74"/>
  <c r="C32" i="74"/>
  <c r="E41" i="74"/>
  <c r="H44" i="74"/>
  <c r="I29" i="38" s="1"/>
  <c r="H50" i="74"/>
  <c r="I37" i="38" s="1"/>
  <c r="E26" i="74"/>
  <c r="J29" i="74"/>
  <c r="K9" i="38" s="1"/>
  <c r="E35" i="74"/>
  <c r="J41" i="74"/>
  <c r="K25" i="38" s="1"/>
  <c r="E47" i="74"/>
  <c r="M21" i="74"/>
  <c r="N21" i="74" s="1"/>
  <c r="M37" i="74"/>
  <c r="N37" i="74" s="1"/>
  <c r="M49" i="74"/>
  <c r="N49" i="74" s="1"/>
  <c r="I5" i="38"/>
  <c r="C29" i="74"/>
  <c r="H35" i="74"/>
  <c r="I17" i="38" s="1"/>
  <c r="E38" i="74"/>
  <c r="C41" i="74"/>
  <c r="H47" i="74"/>
  <c r="I33" i="38" s="1"/>
  <c r="E50" i="74"/>
  <c r="K5" i="38"/>
  <c r="J35" i="74"/>
  <c r="K17" i="38" s="1"/>
  <c r="J47" i="74"/>
  <c r="K33" i="38" s="1"/>
  <c r="M43" i="74"/>
  <c r="N43" i="74" s="1"/>
  <c r="M52" i="74"/>
  <c r="N52" i="74" s="1"/>
  <c r="M31" i="74"/>
  <c r="N31" i="74" s="1"/>
  <c r="O26" i="74"/>
  <c r="M28" i="74"/>
  <c r="N28" i="74" s="1"/>
  <c r="A6" i="74"/>
  <c r="A20" i="74"/>
  <c r="M20" i="74" s="1"/>
  <c r="A22" i="74"/>
  <c r="M22" i="74" s="1"/>
  <c r="O35" i="74"/>
  <c r="J36" i="74"/>
  <c r="J39" i="74"/>
  <c r="J45" i="74"/>
  <c r="O47" i="74"/>
  <c r="J48" i="74"/>
  <c r="C103" i="9" l="1"/>
  <c r="F17" i="38"/>
  <c r="F5" i="38"/>
  <c r="O50" i="74"/>
  <c r="D37" i="38"/>
  <c r="B37" i="38"/>
  <c r="M47" i="74"/>
  <c r="N47" i="74" s="1"/>
  <c r="F33" i="38"/>
  <c r="K34" i="38"/>
  <c r="O44" i="74"/>
  <c r="D29" i="38"/>
  <c r="K30" i="38" s="1"/>
  <c r="B29" i="38"/>
  <c r="O41" i="74"/>
  <c r="D25" i="38"/>
  <c r="F25" i="38" s="1"/>
  <c r="B25" i="38"/>
  <c r="O38" i="74"/>
  <c r="D21" i="38"/>
  <c r="F21" i="38" s="1"/>
  <c r="B21" i="38"/>
  <c r="K18" i="38"/>
  <c r="A60" i="38"/>
  <c r="O32" i="74"/>
  <c r="B13" i="38"/>
  <c r="D13" i="38"/>
  <c r="M49" i="38" s="1"/>
  <c r="O29" i="74"/>
  <c r="B9" i="38"/>
  <c r="D9" i="38"/>
  <c r="G49" i="38" s="1"/>
  <c r="A49" i="38"/>
  <c r="M32" i="74"/>
  <c r="N32" i="74" s="1"/>
  <c r="M38" i="74"/>
  <c r="N38" i="74" s="1"/>
  <c r="M29" i="74"/>
  <c r="N29" i="74" s="1"/>
  <c r="M50" i="74"/>
  <c r="N50" i="74" s="1"/>
  <c r="M35" i="74"/>
  <c r="N35" i="74" s="1"/>
  <c r="M44" i="74"/>
  <c r="M41" i="74"/>
  <c r="N41" i="74" s="1"/>
  <c r="M26" i="74"/>
  <c r="N26" i="74" s="1"/>
  <c r="M27" i="74" s="1"/>
  <c r="N22" i="74"/>
  <c r="N20" i="74"/>
  <c r="M48" i="74" l="1"/>
  <c r="N48" i="74" s="1"/>
  <c r="N44" i="74"/>
  <c r="M45" i="74" s="1"/>
  <c r="N45" i="74" s="1"/>
  <c r="M39" i="74"/>
  <c r="N39" i="74" s="1"/>
  <c r="F37" i="38"/>
  <c r="F29" i="38"/>
  <c r="F13" i="38"/>
  <c r="F9" i="38"/>
  <c r="M60" i="38"/>
  <c r="G60" i="38"/>
  <c r="K22" i="38"/>
  <c r="M36" i="74"/>
  <c r="N36" i="74" s="1"/>
  <c r="M30" i="74"/>
  <c r="N30" i="74" s="1"/>
  <c r="M42" i="74"/>
  <c r="N42" i="74" s="1"/>
  <c r="N27" i="74"/>
  <c r="M51" i="74"/>
  <c r="N51" i="74" s="1"/>
  <c r="M33" i="74"/>
  <c r="N33" i="74" s="1"/>
  <c r="C99" i="9" l="1"/>
  <c r="C98" i="9"/>
  <c r="J19" i="50" l="1"/>
  <c r="C9" i="50" l="1"/>
  <c r="C8" i="50"/>
  <c r="W3" i="14" l="1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C125" i="9" l="1"/>
  <c r="C126" i="9"/>
  <c r="C127" i="9"/>
  <c r="N20" i="33" l="1"/>
  <c r="N19" i="33"/>
  <c r="N18" i="33"/>
  <c r="N26" i="33"/>
  <c r="N25" i="33"/>
  <c r="N24" i="33"/>
  <c r="N23" i="33"/>
  <c r="N17" i="33"/>
  <c r="K23" i="39"/>
  <c r="K25" i="39"/>
  <c r="K26" i="39"/>
  <c r="K27" i="39"/>
  <c r="K24" i="39"/>
  <c r="O25" i="39"/>
  <c r="O26" i="39"/>
  <c r="O27" i="39"/>
  <c r="O24" i="39"/>
  <c r="F18" i="60" l="1"/>
  <c r="E31" i="17" l="1"/>
  <c r="E26" i="17"/>
  <c r="E25" i="17"/>
  <c r="C43" i="56" l="1"/>
  <c r="D78" i="33"/>
  <c r="D74" i="39"/>
  <c r="C116" i="9" l="1"/>
  <c r="B45" i="39" l="1"/>
  <c r="B45" i="33" s="1"/>
  <c r="B46" i="39"/>
  <c r="B46" i="33" s="1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K9" i="33" l="1"/>
  <c r="I11" i="39"/>
  <c r="M4" i="33" s="1"/>
  <c r="I10" i="39"/>
  <c r="AF34" i="45" l="1"/>
  <c r="AE34" i="45" s="1"/>
  <c r="R34" i="45"/>
  <c r="AF33" i="45"/>
  <c r="AE33" i="45" s="1"/>
  <c r="R33" i="45"/>
  <c r="AF32" i="45"/>
  <c r="AE32" i="45" s="1"/>
  <c r="R32" i="45"/>
  <c r="AF31" i="45"/>
  <c r="R31" i="45"/>
  <c r="AF30" i="45"/>
  <c r="R30" i="45"/>
  <c r="AF29" i="45"/>
  <c r="R29" i="45"/>
  <c r="AF28" i="45"/>
  <c r="R28" i="45"/>
  <c r="AF27" i="45"/>
  <c r="R27" i="45"/>
  <c r="AF26" i="45"/>
  <c r="R26" i="45"/>
  <c r="AF25" i="45"/>
  <c r="R25" i="45"/>
  <c r="AF24" i="45"/>
  <c r="R24" i="45"/>
  <c r="AF23" i="45"/>
  <c r="R23" i="45"/>
  <c r="C14" i="39"/>
  <c r="D9" i="33" s="1"/>
  <c r="C55" i="74"/>
  <c r="C54" i="74"/>
  <c r="H44" i="39"/>
  <c r="G44" i="39"/>
  <c r="H43" i="39"/>
  <c r="G43" i="39"/>
  <c r="H42" i="39"/>
  <c r="G42" i="39"/>
  <c r="K42" i="33" s="1"/>
  <c r="K40" i="39"/>
  <c r="G40" i="39"/>
  <c r="D40" i="39"/>
  <c r="G41" i="33" s="1"/>
  <c r="C40" i="39"/>
  <c r="E41" i="33" s="1"/>
  <c r="K39" i="39"/>
  <c r="G39" i="39"/>
  <c r="D39" i="39"/>
  <c r="G40" i="33" s="1"/>
  <c r="C39" i="39"/>
  <c r="E40" i="33" s="1"/>
  <c r="K38" i="39"/>
  <c r="G38" i="39"/>
  <c r="D38" i="39"/>
  <c r="G39" i="33" s="1"/>
  <c r="C38" i="39"/>
  <c r="E39" i="33" s="1"/>
  <c r="K37" i="39"/>
  <c r="G37" i="39"/>
  <c r="D37" i="39"/>
  <c r="G38" i="33" s="1"/>
  <c r="C37" i="39"/>
  <c r="E38" i="33" s="1"/>
  <c r="K36" i="39"/>
  <c r="G36" i="39"/>
  <c r="D36" i="39"/>
  <c r="G37" i="33" s="1"/>
  <c r="C36" i="39"/>
  <c r="E37" i="33" s="1"/>
  <c r="K35" i="39"/>
  <c r="G35" i="39"/>
  <c r="D35" i="39"/>
  <c r="G36" i="33" s="1"/>
  <c r="C35" i="39"/>
  <c r="E36" i="33" s="1"/>
  <c r="K34" i="39"/>
  <c r="G34" i="39"/>
  <c r="D34" i="39"/>
  <c r="G35" i="33" s="1"/>
  <c r="C34" i="39"/>
  <c r="E35" i="33" s="1"/>
  <c r="K33" i="39"/>
  <c r="G33" i="39"/>
  <c r="D33" i="39"/>
  <c r="G34" i="33" s="1"/>
  <c r="C33" i="39"/>
  <c r="E34" i="33" s="1"/>
  <c r="K32" i="39"/>
  <c r="G32" i="39"/>
  <c r="D32" i="39"/>
  <c r="G33" i="33" s="1"/>
  <c r="G30" i="39"/>
  <c r="K32" i="33" s="1"/>
  <c r="G22" i="39"/>
  <c r="E22" i="39"/>
  <c r="I35" i="33" s="1"/>
  <c r="J33" i="74" s="1"/>
  <c r="K14" i="38" s="1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J2" i="38"/>
  <c r="J1" i="38"/>
  <c r="J42" i="74"/>
  <c r="K26" i="38" s="1"/>
  <c r="K6" i="38"/>
  <c r="F10" i="33"/>
  <c r="O1" i="33"/>
  <c r="M1" i="33"/>
  <c r="G13" i="45" l="1"/>
  <c r="G17" i="45"/>
  <c r="G11" i="45"/>
  <c r="G12" i="45"/>
  <c r="G14" i="45"/>
  <c r="G15" i="45"/>
  <c r="G18" i="45"/>
  <c r="G19" i="45"/>
  <c r="G16" i="45"/>
  <c r="T9" i="45"/>
  <c r="X9" i="45"/>
  <c r="AB9" i="45"/>
  <c r="U9" i="45"/>
  <c r="Y9" i="45"/>
  <c r="AC9" i="45"/>
  <c r="V9" i="45"/>
  <c r="Z9" i="45"/>
  <c r="AD9" i="45"/>
  <c r="W9" i="45"/>
  <c r="AA9" i="45"/>
  <c r="S9" i="45"/>
  <c r="AA23" i="45"/>
  <c r="Y23" i="45"/>
  <c r="AD23" i="45"/>
  <c r="X23" i="45"/>
  <c r="T23" i="45"/>
  <c r="S23" i="45"/>
  <c r="Z23" i="45"/>
  <c r="AC23" i="45"/>
  <c r="W23" i="45"/>
  <c r="V23" i="45"/>
  <c r="U23" i="45"/>
  <c r="AB23" i="45"/>
  <c r="S25" i="45"/>
  <c r="W25" i="45"/>
  <c r="AA25" i="45"/>
  <c r="T25" i="45"/>
  <c r="X25" i="45"/>
  <c r="AB25" i="45"/>
  <c r="U25" i="45"/>
  <c r="Y25" i="45"/>
  <c r="AC25" i="45"/>
  <c r="V25" i="45"/>
  <c r="Z25" i="45"/>
  <c r="AD25" i="45"/>
  <c r="S27" i="45"/>
  <c r="W27" i="45"/>
  <c r="AA27" i="45"/>
  <c r="T27" i="45"/>
  <c r="X27" i="45"/>
  <c r="AB27" i="45"/>
  <c r="U27" i="45"/>
  <c r="Y27" i="45"/>
  <c r="AC27" i="45"/>
  <c r="V27" i="45"/>
  <c r="Z27" i="45"/>
  <c r="AD27" i="45"/>
  <c r="S29" i="45"/>
  <c r="W29" i="45"/>
  <c r="AA29" i="45"/>
  <c r="T29" i="45"/>
  <c r="X29" i="45"/>
  <c r="AB29" i="45"/>
  <c r="U29" i="45"/>
  <c r="Y29" i="45"/>
  <c r="AC29" i="45"/>
  <c r="V29" i="45"/>
  <c r="Z29" i="45"/>
  <c r="AD29" i="45"/>
  <c r="S31" i="45"/>
  <c r="W31" i="45"/>
  <c r="AA31" i="45"/>
  <c r="T31" i="45"/>
  <c r="X31" i="45"/>
  <c r="AB31" i="45"/>
  <c r="U31" i="45"/>
  <c r="Y31" i="45"/>
  <c r="AC31" i="45"/>
  <c r="V31" i="45"/>
  <c r="Z31" i="45"/>
  <c r="AD31" i="45"/>
  <c r="S33" i="45"/>
  <c r="W33" i="45"/>
  <c r="T33" i="45"/>
  <c r="X33" i="45"/>
  <c r="AB33" i="45"/>
  <c r="U33" i="45"/>
  <c r="Y33" i="45"/>
  <c r="AC33" i="45"/>
  <c r="V33" i="45"/>
  <c r="Z33" i="45"/>
  <c r="AD33" i="45"/>
  <c r="AA33" i="45"/>
  <c r="S24" i="45"/>
  <c r="W24" i="45"/>
  <c r="AA24" i="45"/>
  <c r="T24" i="45"/>
  <c r="X24" i="45"/>
  <c r="AB24" i="45"/>
  <c r="U24" i="45"/>
  <c r="Y24" i="45"/>
  <c r="AC24" i="45"/>
  <c r="V24" i="45"/>
  <c r="Z24" i="45"/>
  <c r="AD24" i="45"/>
  <c r="S26" i="45"/>
  <c r="W26" i="45"/>
  <c r="AA26" i="45"/>
  <c r="T26" i="45"/>
  <c r="X26" i="45"/>
  <c r="AB26" i="45"/>
  <c r="U26" i="45"/>
  <c r="Y26" i="45"/>
  <c r="AC26" i="45"/>
  <c r="V26" i="45"/>
  <c r="Z26" i="45"/>
  <c r="AD26" i="45"/>
  <c r="S28" i="45"/>
  <c r="W28" i="45"/>
  <c r="AA28" i="45"/>
  <c r="T28" i="45"/>
  <c r="X28" i="45"/>
  <c r="AB28" i="45"/>
  <c r="U28" i="45"/>
  <c r="Y28" i="45"/>
  <c r="AC28" i="45"/>
  <c r="V28" i="45"/>
  <c r="Z28" i="45"/>
  <c r="AD28" i="45"/>
  <c r="S30" i="45"/>
  <c r="W30" i="45"/>
  <c r="AA30" i="45"/>
  <c r="T30" i="45"/>
  <c r="X30" i="45"/>
  <c r="AB30" i="45"/>
  <c r="U30" i="45"/>
  <c r="Y30" i="45"/>
  <c r="AC30" i="45"/>
  <c r="V30" i="45"/>
  <c r="Z30" i="45"/>
  <c r="AD30" i="45"/>
  <c r="S32" i="45"/>
  <c r="AA32" i="45"/>
  <c r="T32" i="45"/>
  <c r="X32" i="45"/>
  <c r="AB32" i="45"/>
  <c r="U32" i="45"/>
  <c r="Y32" i="45"/>
  <c r="AC32" i="45"/>
  <c r="V32" i="45"/>
  <c r="Z32" i="45"/>
  <c r="AD32" i="45"/>
  <c r="W32" i="45"/>
  <c r="W34" i="45"/>
  <c r="T34" i="45"/>
  <c r="X34" i="45"/>
  <c r="AB34" i="45"/>
  <c r="U34" i="45"/>
  <c r="Y34" i="45"/>
  <c r="AC34" i="45"/>
  <c r="V34" i="45"/>
  <c r="Z34" i="45"/>
  <c r="AD34" i="45"/>
  <c r="S34" i="45"/>
  <c r="AA34" i="45"/>
  <c r="AE23" i="45"/>
  <c r="Q23" i="45" s="1"/>
  <c r="H32" i="39"/>
  <c r="M33" i="33" s="1"/>
  <c r="K44" i="33"/>
  <c r="K43" i="33"/>
  <c r="K41" i="33"/>
  <c r="C52" i="74" s="1"/>
  <c r="D38" i="38" s="1"/>
  <c r="K40" i="33"/>
  <c r="C49" i="74" s="1"/>
  <c r="D34" i="38" s="1"/>
  <c r="K39" i="33"/>
  <c r="C46" i="74" s="1"/>
  <c r="D30" i="38" s="1"/>
  <c r="K38" i="33"/>
  <c r="C43" i="74" s="1"/>
  <c r="D26" i="38" s="1"/>
  <c r="M62" i="38" s="1"/>
  <c r="K37" i="33"/>
  <c r="C40" i="74" s="1"/>
  <c r="D22" i="38" s="1"/>
  <c r="G62" i="38" s="1"/>
  <c r="K36" i="33"/>
  <c r="C37" i="74" s="1"/>
  <c r="D18" i="38" s="1"/>
  <c r="A62" i="38" s="1"/>
  <c r="K35" i="33"/>
  <c r="C34" i="74" s="1"/>
  <c r="D14" i="38" s="1"/>
  <c r="M51" i="38" s="1"/>
  <c r="K34" i="33"/>
  <c r="C31" i="74" s="1"/>
  <c r="D10" i="38" s="1"/>
  <c r="G51" i="38" s="1"/>
  <c r="K33" i="33"/>
  <c r="C28" i="74" s="1"/>
  <c r="D6" i="38" s="1"/>
  <c r="A51" i="38" s="1"/>
  <c r="F18" i="33"/>
  <c r="N35" i="33"/>
  <c r="E18" i="33"/>
  <c r="C18" i="33" s="1"/>
  <c r="G18" i="33"/>
  <c r="N34" i="33"/>
  <c r="G17" i="33"/>
  <c r="I34" i="33"/>
  <c r="J30" i="74" s="1"/>
  <c r="K10" i="38" s="1"/>
  <c r="E17" i="33"/>
  <c r="O6" i="33"/>
  <c r="C100" i="9"/>
  <c r="C102" i="9"/>
  <c r="C101" i="9"/>
  <c r="AE26" i="45"/>
  <c r="H35" i="39"/>
  <c r="M36" i="33" s="1"/>
  <c r="AE27" i="45"/>
  <c r="H36" i="39"/>
  <c r="M37" i="33" s="1"/>
  <c r="AE28" i="45"/>
  <c r="H37" i="39"/>
  <c r="M38" i="33" s="1"/>
  <c r="AE29" i="45"/>
  <c r="H38" i="39"/>
  <c r="M39" i="33" s="1"/>
  <c r="AE30" i="45"/>
  <c r="H39" i="39"/>
  <c r="M40" i="33" s="1"/>
  <c r="C118" i="9"/>
  <c r="C117" i="9"/>
  <c r="AE25" i="45"/>
  <c r="H34" i="39"/>
  <c r="M35" i="33" s="1"/>
  <c r="C121" i="9"/>
  <c r="C122" i="9"/>
  <c r="AE31" i="45"/>
  <c r="H40" i="39"/>
  <c r="M41" i="33" s="1"/>
  <c r="AE24" i="45"/>
  <c r="H33" i="39"/>
  <c r="M34" i="33" s="1"/>
  <c r="B42" i="38"/>
  <c r="M48" i="38"/>
  <c r="H15" i="39"/>
  <c r="I10" i="33" s="1"/>
  <c r="I12" i="39"/>
  <c r="M5" i="33" s="1"/>
  <c r="B41" i="38"/>
  <c r="R51" i="45"/>
  <c r="V19" i="45" l="1"/>
  <c r="Z19" i="45"/>
  <c r="AD19" i="45"/>
  <c r="S19" i="45"/>
  <c r="W19" i="45"/>
  <c r="AA19" i="45"/>
  <c r="T19" i="45"/>
  <c r="X19" i="45"/>
  <c r="AB19" i="45"/>
  <c r="U19" i="45"/>
  <c r="Y19" i="45"/>
  <c r="AC19" i="45"/>
  <c r="L12" i="45"/>
  <c r="AH12" i="45" s="1"/>
  <c r="C120" i="9" s="1"/>
  <c r="V12" i="45"/>
  <c r="Z12" i="45"/>
  <c r="AD12" i="45"/>
  <c r="S12" i="45"/>
  <c r="W12" i="45"/>
  <c r="AA12" i="45"/>
  <c r="T12" i="45"/>
  <c r="X12" i="45"/>
  <c r="AB12" i="45"/>
  <c r="U12" i="45"/>
  <c r="Y12" i="45"/>
  <c r="AC12" i="45"/>
  <c r="V18" i="45"/>
  <c r="Z18" i="45"/>
  <c r="AD18" i="45"/>
  <c r="S18" i="45"/>
  <c r="W18" i="45"/>
  <c r="AA18" i="45"/>
  <c r="T18" i="45"/>
  <c r="X18" i="45"/>
  <c r="AB18" i="45"/>
  <c r="U18" i="45"/>
  <c r="Y18" i="45"/>
  <c r="AC18" i="45"/>
  <c r="L11" i="45"/>
  <c r="AH11" i="45" s="1"/>
  <c r="C119" i="9" s="1"/>
  <c r="W11" i="45"/>
  <c r="AA11" i="45"/>
  <c r="S11" i="45"/>
  <c r="T11" i="45"/>
  <c r="X11" i="45"/>
  <c r="AB11" i="45"/>
  <c r="U11" i="45"/>
  <c r="Y11" i="45"/>
  <c r="AC11" i="45"/>
  <c r="V11" i="45"/>
  <c r="Z11" i="45"/>
  <c r="AD11" i="45"/>
  <c r="V15" i="45"/>
  <c r="Z15" i="45"/>
  <c r="AD15" i="45"/>
  <c r="S15" i="45"/>
  <c r="W15" i="45"/>
  <c r="AA15" i="45"/>
  <c r="T15" i="45"/>
  <c r="X15" i="45"/>
  <c r="AB15" i="45"/>
  <c r="U15" i="45"/>
  <c r="Y15" i="45"/>
  <c r="AC15" i="45"/>
  <c r="V17" i="45"/>
  <c r="Z17" i="45"/>
  <c r="AD17" i="45"/>
  <c r="S17" i="45"/>
  <c r="W17" i="45"/>
  <c r="AA17" i="45"/>
  <c r="T17" i="45"/>
  <c r="X17" i="45"/>
  <c r="AB17" i="45"/>
  <c r="U17" i="45"/>
  <c r="Y17" i="45"/>
  <c r="AC17" i="45"/>
  <c r="L16" i="45"/>
  <c r="AH16" i="45" s="1"/>
  <c r="C124" i="9" s="1"/>
  <c r="V16" i="45"/>
  <c r="Z16" i="45"/>
  <c r="AD16" i="45"/>
  <c r="S16" i="45"/>
  <c r="W16" i="45"/>
  <c r="AA16" i="45"/>
  <c r="T16" i="45"/>
  <c r="X16" i="45"/>
  <c r="AB16" i="45"/>
  <c r="U16" i="45"/>
  <c r="Y16" i="45"/>
  <c r="AC16" i="45"/>
  <c r="V14" i="45"/>
  <c r="Z14" i="45"/>
  <c r="AD14" i="45"/>
  <c r="S14" i="45"/>
  <c r="W14" i="45"/>
  <c r="AA14" i="45"/>
  <c r="T14" i="45"/>
  <c r="X14" i="45"/>
  <c r="AB14" i="45"/>
  <c r="U14" i="45"/>
  <c r="Y14" i="45"/>
  <c r="AC14" i="45"/>
  <c r="V13" i="45"/>
  <c r="Z13" i="45"/>
  <c r="AD13" i="45"/>
  <c r="S13" i="45"/>
  <c r="W13" i="45"/>
  <c r="AA13" i="45"/>
  <c r="T13" i="45"/>
  <c r="X13" i="45"/>
  <c r="AB13" i="45"/>
  <c r="U13" i="45"/>
  <c r="Y13" i="45"/>
  <c r="AC13" i="45"/>
  <c r="AC51" i="45" s="1"/>
  <c r="D3" i="39"/>
  <c r="F63" i="33" s="1"/>
  <c r="N27" i="38"/>
  <c r="O27" i="38" s="1"/>
  <c r="N19" i="38"/>
  <c r="O19" i="38" s="1"/>
  <c r="N11" i="38"/>
  <c r="J50" i="38" s="1"/>
  <c r="O11" i="38"/>
  <c r="N39" i="39"/>
  <c r="N37" i="39"/>
  <c r="N35" i="39"/>
  <c r="N36" i="39"/>
  <c r="N38" i="39"/>
  <c r="N34" i="39"/>
  <c r="N40" i="39"/>
  <c r="N32" i="39"/>
  <c r="N33" i="39"/>
  <c r="N15" i="38"/>
  <c r="G59" i="38"/>
  <c r="G48" i="38"/>
  <c r="A59" i="38"/>
  <c r="C88" i="9"/>
  <c r="J12" i="39"/>
  <c r="J6" i="33"/>
  <c r="M50" i="38"/>
  <c r="F15" i="38"/>
  <c r="F35" i="38"/>
  <c r="Z51" i="45" l="1"/>
  <c r="V51" i="45"/>
  <c r="AB51" i="45"/>
  <c r="AA51" i="45"/>
  <c r="AD51" i="45"/>
  <c r="Y51" i="45"/>
  <c r="W51" i="45"/>
  <c r="S51" i="45"/>
  <c r="T51" i="45"/>
  <c r="U51" i="45"/>
  <c r="X51" i="45"/>
  <c r="N39" i="38"/>
  <c r="O39" i="38" s="1"/>
  <c r="N35" i="38"/>
  <c r="O35" i="38" s="1"/>
  <c r="N31" i="38"/>
  <c r="O31" i="38" s="1"/>
  <c r="N23" i="38"/>
  <c r="O23" i="38" s="1"/>
  <c r="O15" i="38"/>
  <c r="P50" i="38"/>
  <c r="N7" i="38"/>
  <c r="O7" i="38" s="1"/>
  <c r="C96" i="9"/>
  <c r="C95" i="9"/>
  <c r="C94" i="9"/>
  <c r="C92" i="9"/>
  <c r="F31" i="38"/>
  <c r="N29" i="38"/>
  <c r="M59" i="38"/>
  <c r="N25" i="38"/>
  <c r="O25" i="38" s="1"/>
  <c r="F6" i="38"/>
  <c r="C51" i="38" s="1"/>
  <c r="N13" i="38"/>
  <c r="O13" i="38" s="1"/>
  <c r="C91" i="9"/>
  <c r="C90" i="9"/>
  <c r="C97" i="9"/>
  <c r="C93" i="9"/>
  <c r="N21" i="38"/>
  <c r="C89" i="9"/>
  <c r="N17" i="38"/>
  <c r="O17" i="38" s="1"/>
  <c r="N37" i="38"/>
  <c r="O37" i="38" s="1"/>
  <c r="F27" i="38"/>
  <c r="G50" i="38"/>
  <c r="F39" i="38"/>
  <c r="G61" i="38"/>
  <c r="F23" i="38"/>
  <c r="A61" i="38"/>
  <c r="F19" i="38"/>
  <c r="F11" i="38"/>
  <c r="M61" i="38"/>
  <c r="N33" i="38"/>
  <c r="O33" i="38" s="1"/>
  <c r="A50" i="38"/>
  <c r="A48" i="38"/>
  <c r="F7" i="38"/>
  <c r="N5" i="38"/>
  <c r="O5" i="38" s="1"/>
  <c r="O29" i="38" l="1"/>
  <c r="N30" i="38" s="1"/>
  <c r="O30" i="38" s="1"/>
  <c r="E52" i="74"/>
  <c r="F38" i="38" s="1"/>
  <c r="E49" i="74"/>
  <c r="F34" i="38" s="1"/>
  <c r="E46" i="74"/>
  <c r="F30" i="38" s="1"/>
  <c r="E43" i="74"/>
  <c r="F26" i="38" s="1"/>
  <c r="O62" i="38" s="1"/>
  <c r="E40" i="74"/>
  <c r="F22" i="38" s="1"/>
  <c r="I62" i="38" s="1"/>
  <c r="E37" i="74"/>
  <c r="F18" i="38" s="1"/>
  <c r="C62" i="38" s="1"/>
  <c r="N26" i="38"/>
  <c r="O26" i="38" s="1"/>
  <c r="E31" i="74"/>
  <c r="F10" i="38" s="1"/>
  <c r="I51" i="38" s="1"/>
  <c r="E34" i="74"/>
  <c r="F14" i="38" s="1"/>
  <c r="O51" i="38" s="1"/>
  <c r="C42" i="45"/>
  <c r="L42" i="45" s="1"/>
  <c r="AH42" i="45" s="1"/>
  <c r="K59" i="39"/>
  <c r="K58" i="39"/>
  <c r="K48" i="39"/>
  <c r="C43" i="45"/>
  <c r="L43" i="45" s="1"/>
  <c r="AH43" i="45" s="1"/>
  <c r="C41" i="45"/>
  <c r="L41" i="45" s="1"/>
  <c r="AH41" i="45" s="1"/>
  <c r="C45" i="45"/>
  <c r="L45" i="45" s="1"/>
  <c r="AH45" i="45" s="1"/>
  <c r="K55" i="39"/>
  <c r="K57" i="39"/>
  <c r="C7" i="45"/>
  <c r="C21" i="45" s="1"/>
  <c r="C39" i="45"/>
  <c r="N18" i="38"/>
  <c r="O18" i="38" s="1"/>
  <c r="O21" i="38"/>
  <c r="N22" i="38" s="1"/>
  <c r="O22" i="38" s="1"/>
  <c r="N34" i="38"/>
  <c r="O34" i="38" s="1"/>
  <c r="I5" i="39"/>
  <c r="O65" i="33" s="1"/>
  <c r="I8" i="39"/>
  <c r="O68" i="33" s="1"/>
  <c r="D4" i="39"/>
  <c r="F64" i="33" s="1"/>
  <c r="D7" i="39"/>
  <c r="F67" i="33" s="1"/>
  <c r="D5" i="39"/>
  <c r="F65" i="33" s="1"/>
  <c r="I6" i="39"/>
  <c r="O66" i="33" s="1"/>
  <c r="I3" i="39"/>
  <c r="O63" i="33" s="1"/>
  <c r="I4" i="39"/>
  <c r="O64" i="33" s="1"/>
  <c r="D8" i="39"/>
  <c r="F68" i="33" s="1"/>
  <c r="D6" i="39"/>
  <c r="F66" i="33" s="1"/>
  <c r="I7" i="39"/>
  <c r="O67" i="33" s="1"/>
  <c r="N14" i="38"/>
  <c r="O14" i="38" s="1"/>
  <c r="N38" i="38"/>
  <c r="O38" i="38" s="1"/>
  <c r="N9" i="38"/>
  <c r="O9" i="38" s="1"/>
  <c r="N6" i="38"/>
  <c r="O6" i="38" s="1"/>
  <c r="C47" i="45"/>
  <c r="L47" i="45" s="1"/>
  <c r="AH47" i="45" s="1"/>
  <c r="K53" i="39"/>
  <c r="K56" i="39"/>
  <c r="K54" i="39"/>
  <c r="K18" i="39"/>
  <c r="C46" i="45"/>
  <c r="L46" i="45" s="1"/>
  <c r="AH46" i="45" s="1"/>
  <c r="K52" i="39"/>
  <c r="J16" i="33" s="1"/>
  <c r="C44" i="45"/>
  <c r="L44" i="45" s="1"/>
  <c r="AH44" i="45" s="1"/>
  <c r="C48" i="45"/>
  <c r="L48" i="45" s="1"/>
  <c r="AH48" i="45" s="1"/>
  <c r="AH39" i="45" l="1"/>
  <c r="N39" i="45"/>
  <c r="M16" i="33"/>
  <c r="N16" i="33" s="1"/>
  <c r="I16" i="33"/>
  <c r="E52" i="39"/>
  <c r="F51" i="33" s="1"/>
  <c r="R43" i="45"/>
  <c r="S43" i="45" s="1"/>
  <c r="R42" i="45"/>
  <c r="S42" i="45" s="1"/>
  <c r="D23" i="74"/>
  <c r="M23" i="74" s="1"/>
  <c r="N23" i="74" s="1"/>
  <c r="C104" i="9"/>
  <c r="M15" i="74"/>
  <c r="M14" i="74"/>
  <c r="E48" i="39"/>
  <c r="E56" i="39"/>
  <c r="F55" i="33" s="1"/>
  <c r="R45" i="45"/>
  <c r="S45" i="45" s="1"/>
  <c r="E53" i="39"/>
  <c r="F52" i="33" s="1"/>
  <c r="E54" i="39"/>
  <c r="F53" i="33" s="1"/>
  <c r="I52" i="39"/>
  <c r="L51" i="33" s="1"/>
  <c r="R46" i="45"/>
  <c r="S46" i="45" s="1"/>
  <c r="R41" i="45"/>
  <c r="R44" i="45"/>
  <c r="S44" i="45" s="1"/>
  <c r="I53" i="39"/>
  <c r="L52" i="33" s="1"/>
  <c r="R39" i="45"/>
  <c r="R48" i="45"/>
  <c r="S48" i="45" s="1"/>
  <c r="I59" i="39"/>
  <c r="R47" i="45"/>
  <c r="W47" i="45" s="1"/>
  <c r="G58" i="39"/>
  <c r="N10" i="38"/>
  <c r="O10" i="38" s="1"/>
  <c r="E57" i="39"/>
  <c r="F56" i="33" s="1"/>
  <c r="E55" i="39"/>
  <c r="F54" i="33" s="1"/>
  <c r="G6" i="5"/>
  <c r="S41" i="45" l="1"/>
  <c r="S39" i="45"/>
  <c r="AC47" i="45"/>
  <c r="X47" i="45"/>
  <c r="S47" i="45"/>
  <c r="AD47" i="45"/>
  <c r="Y47" i="45"/>
  <c r="T47" i="45"/>
  <c r="AD48" i="45"/>
  <c r="Y48" i="45"/>
  <c r="T48" i="45"/>
  <c r="Z47" i="45"/>
  <c r="U47" i="45"/>
  <c r="AA47" i="45"/>
  <c r="Z48" i="45"/>
  <c r="U48" i="45"/>
  <c r="AA48" i="45"/>
  <c r="V47" i="45"/>
  <c r="AB47" i="45"/>
  <c r="V48" i="45"/>
  <c r="AB48" i="45"/>
  <c r="W48" i="45"/>
  <c r="AC48" i="45"/>
  <c r="X48" i="45"/>
  <c r="Z45" i="45"/>
  <c r="AA45" i="45"/>
  <c r="AD45" i="45"/>
  <c r="T45" i="45"/>
  <c r="Y46" i="45"/>
  <c r="U46" i="45"/>
  <c r="Y45" i="45"/>
  <c r="AD46" i="45"/>
  <c r="T46" i="45"/>
  <c r="U45" i="45"/>
  <c r="Z46" i="45"/>
  <c r="AA46" i="45"/>
  <c r="AD43" i="45"/>
  <c r="Y43" i="45"/>
  <c r="T43" i="45"/>
  <c r="AD44" i="45"/>
  <c r="Y44" i="45"/>
  <c r="T44" i="45"/>
  <c r="AD42" i="45"/>
  <c r="Y42" i="45"/>
  <c r="T42" i="45"/>
  <c r="AD41" i="45"/>
  <c r="Y41" i="45"/>
  <c r="T41" i="45"/>
  <c r="Z43" i="45"/>
  <c r="U43" i="45"/>
  <c r="AA43" i="45"/>
  <c r="Z44" i="45"/>
  <c r="U44" i="45"/>
  <c r="AA44" i="45"/>
  <c r="Z42" i="45"/>
  <c r="U42" i="45"/>
  <c r="AA42" i="45"/>
  <c r="Z41" i="45"/>
  <c r="U41" i="45"/>
  <c r="AA41" i="45"/>
  <c r="V45" i="45"/>
  <c r="AB45" i="45"/>
  <c r="W45" i="45"/>
  <c r="V46" i="45"/>
  <c r="AB46" i="45"/>
  <c r="W46" i="45"/>
  <c r="V43" i="45"/>
  <c r="AB43" i="45"/>
  <c r="W43" i="45"/>
  <c r="V44" i="45"/>
  <c r="AB44" i="45"/>
  <c r="W44" i="45"/>
  <c r="V42" i="45"/>
  <c r="AB42" i="45"/>
  <c r="W42" i="45"/>
  <c r="V41" i="45"/>
  <c r="AB41" i="45"/>
  <c r="W41" i="45"/>
  <c r="AC45" i="45"/>
  <c r="X45" i="45"/>
  <c r="AC46" i="45"/>
  <c r="X46" i="45"/>
  <c r="AC43" i="45"/>
  <c r="X43" i="45"/>
  <c r="AC44" i="45"/>
  <c r="X44" i="45"/>
  <c r="AC42" i="45"/>
  <c r="X42" i="45"/>
  <c r="AC41" i="45"/>
  <c r="X41" i="45"/>
  <c r="Z39" i="45"/>
  <c r="U39" i="45"/>
  <c r="AA39" i="45"/>
  <c r="V39" i="45"/>
  <c r="AB39" i="45"/>
  <c r="W39" i="45"/>
  <c r="AC39" i="45"/>
  <c r="X39" i="45"/>
  <c r="AD39" i="45"/>
  <c r="Y39" i="45"/>
  <c r="T39" i="45"/>
  <c r="M9" i="74"/>
  <c r="N9" i="74" s="1"/>
  <c r="J59" i="39"/>
  <c r="L58" i="33"/>
  <c r="H58" i="39"/>
  <c r="I57" i="33"/>
  <c r="F48" i="39"/>
  <c r="G47" i="33"/>
  <c r="M10" i="74"/>
  <c r="N10" i="74" s="1"/>
  <c r="A23" i="74"/>
  <c r="N15" i="74"/>
  <c r="C114" i="9" s="1"/>
  <c r="N14" i="74"/>
  <c r="M13" i="74"/>
  <c r="M11" i="74"/>
  <c r="M8" i="74"/>
  <c r="M12" i="74"/>
  <c r="R49" i="45"/>
  <c r="R52" i="45" l="1"/>
  <c r="R53" i="45" s="1"/>
  <c r="AH7" i="45" s="1"/>
  <c r="L49" i="45"/>
  <c r="AH49" i="45" s="1"/>
  <c r="N40" i="45"/>
  <c r="AH40" i="45" s="1"/>
  <c r="S49" i="45"/>
  <c r="S52" i="45" s="1"/>
  <c r="H3" i="39" s="1"/>
  <c r="M63" i="33" s="1"/>
  <c r="W49" i="45"/>
  <c r="W52" i="45" s="1"/>
  <c r="W53" i="45" s="1"/>
  <c r="AA49" i="45"/>
  <c r="AA52" i="45" s="1"/>
  <c r="AA53" i="45" s="1"/>
  <c r="T49" i="45"/>
  <c r="T52" i="45" s="1"/>
  <c r="T53" i="45" s="1"/>
  <c r="X49" i="45"/>
  <c r="X52" i="45" s="1"/>
  <c r="AB49" i="45"/>
  <c r="AB52" i="45" s="1"/>
  <c r="AB53" i="45" s="1"/>
  <c r="U49" i="45"/>
  <c r="Y49" i="45"/>
  <c r="AC49" i="45"/>
  <c r="AC52" i="45" s="1"/>
  <c r="V49" i="45"/>
  <c r="V52" i="45" s="1"/>
  <c r="V53" i="45" s="1"/>
  <c r="Z49" i="45"/>
  <c r="Z52" i="45" s="1"/>
  <c r="Z53" i="45" s="1"/>
  <c r="AD49" i="45"/>
  <c r="AD52" i="45" s="1"/>
  <c r="AD53" i="45" s="1"/>
  <c r="C113" i="9"/>
  <c r="C109" i="9"/>
  <c r="N13" i="74"/>
  <c r="C108" i="9"/>
  <c r="N8" i="74"/>
  <c r="N11" i="74"/>
  <c r="N12" i="74"/>
  <c r="I60" i="39"/>
  <c r="M16" i="74"/>
  <c r="G60" i="39"/>
  <c r="E60" i="39"/>
  <c r="D13" i="24"/>
  <c r="E13" i="24" s="1"/>
  <c r="D9" i="24"/>
  <c r="E9" i="24" s="1"/>
  <c r="C3" i="39" l="1"/>
  <c r="D63" i="33" s="1"/>
  <c r="C8" i="39"/>
  <c r="D68" i="33" s="1"/>
  <c r="AC53" i="45"/>
  <c r="E8" i="39" s="1"/>
  <c r="H68" i="33" s="1"/>
  <c r="C4" i="39"/>
  <c r="D64" i="33" s="1"/>
  <c r="X53" i="45"/>
  <c r="E4" i="39" s="1"/>
  <c r="H64" i="33" s="1"/>
  <c r="H4" i="39"/>
  <c r="M64" i="33" s="1"/>
  <c r="C5" i="39"/>
  <c r="D65" i="33" s="1"/>
  <c r="U52" i="45"/>
  <c r="U53" i="45" s="1"/>
  <c r="J5" i="39" s="1"/>
  <c r="Q65" i="33" s="1"/>
  <c r="H6" i="39"/>
  <c r="M66" i="33" s="1"/>
  <c r="H7" i="39"/>
  <c r="M67" i="33" s="1"/>
  <c r="H8" i="39"/>
  <c r="M68" i="33" s="1"/>
  <c r="Y52" i="45"/>
  <c r="J60" i="39"/>
  <c r="L59" i="33" s="1"/>
  <c r="H60" i="39"/>
  <c r="I59" i="33" s="1"/>
  <c r="F60" i="39"/>
  <c r="F59" i="33" s="1"/>
  <c r="C112" i="9"/>
  <c r="C110" i="9"/>
  <c r="C107" i="9"/>
  <c r="C111" i="9"/>
  <c r="J7" i="39"/>
  <c r="Q67" i="33" s="1"/>
  <c r="N16" i="74"/>
  <c r="M17" i="74" s="1"/>
  <c r="E28" i="39"/>
  <c r="B1" i="39"/>
  <c r="S53" i="45"/>
  <c r="J3" i="39" s="1"/>
  <c r="Q63" i="33" s="1"/>
  <c r="J6" i="39"/>
  <c r="Q66" i="33" s="1"/>
  <c r="C123" i="9"/>
  <c r="J4" i="39"/>
  <c r="Q64" i="33" s="1"/>
  <c r="J8" i="39"/>
  <c r="Q68" i="33" s="1"/>
  <c r="E5" i="39"/>
  <c r="H65" i="33" s="1"/>
  <c r="C7" i="39"/>
  <c r="D67" i="33" s="1"/>
  <c r="H5" i="39" l="1"/>
  <c r="M65" i="33" s="1"/>
  <c r="C6" i="39"/>
  <c r="D66" i="33" s="1"/>
  <c r="Y53" i="45"/>
  <c r="E6" i="39" s="1"/>
  <c r="H66" i="33" s="1"/>
  <c r="C147" i="9"/>
  <c r="I41" i="33"/>
  <c r="J51" i="74" s="1"/>
  <c r="K38" i="38" s="1"/>
  <c r="G30" i="33"/>
  <c r="E3" i="39"/>
  <c r="H63" i="33" s="1"/>
  <c r="E18" i="39"/>
  <c r="F13" i="33" s="1"/>
  <c r="N17" i="74"/>
  <c r="C115" i="9"/>
  <c r="H5" i="74"/>
  <c r="C151" i="9"/>
  <c r="C144" i="9"/>
  <c r="C149" i="9"/>
  <c r="C143" i="9"/>
  <c r="E7" i="39"/>
  <c r="H67" i="33" s="1"/>
  <c r="C150" i="9" l="1"/>
  <c r="C152" i="9"/>
  <c r="A8" i="74"/>
  <c r="C148" i="9"/>
  <c r="C142" i="9"/>
  <c r="C153" i="9"/>
  <c r="C145" i="9"/>
  <c r="Q11" i="12"/>
  <c r="Q12" i="12"/>
  <c r="Q13" i="12"/>
  <c r="Q21" i="12"/>
  <c r="Q22" i="12"/>
  <c r="Q23" i="12"/>
  <c r="Q24" i="12"/>
  <c r="Q25" i="12"/>
  <c r="C106" i="9" l="1"/>
  <c r="C105" i="9"/>
  <c r="C146" i="9"/>
  <c r="R5" i="12"/>
  <c r="R6" i="12"/>
  <c r="R7" i="12"/>
  <c r="T7" i="12"/>
  <c r="R8" i="12"/>
  <c r="S8" i="12"/>
  <c r="R9" i="12"/>
  <c r="T9" i="12"/>
  <c r="R10" i="12"/>
  <c r="T10" i="12"/>
  <c r="R11" i="12"/>
  <c r="S11" i="12"/>
  <c r="T11" i="12"/>
  <c r="R12" i="12"/>
  <c r="S12" i="12"/>
  <c r="T12" i="12"/>
  <c r="R13" i="12"/>
  <c r="S13" i="12"/>
  <c r="T13" i="12"/>
  <c r="R14" i="12"/>
  <c r="R21" i="12"/>
  <c r="S21" i="12"/>
  <c r="T21" i="12"/>
  <c r="R22" i="12"/>
  <c r="S22" i="12"/>
  <c r="T22" i="12"/>
  <c r="R23" i="12"/>
  <c r="S23" i="12"/>
  <c r="T23" i="12"/>
  <c r="R24" i="12"/>
  <c r="S24" i="12"/>
  <c r="T24" i="12"/>
  <c r="R25" i="12"/>
  <c r="S25" i="12"/>
  <c r="T25" i="12"/>
  <c r="AD17" i="10" l="1"/>
  <c r="M10" i="12"/>
  <c r="S10" i="12" s="1"/>
  <c r="M14" i="12"/>
  <c r="AD11" i="10"/>
  <c r="AD15" i="10"/>
  <c r="AD13" i="10"/>
  <c r="M12" i="12"/>
  <c r="AD9" i="10"/>
  <c r="R26" i="12"/>
  <c r="M13" i="12"/>
  <c r="M11" i="12"/>
  <c r="M9" i="12"/>
  <c r="M8" i="12"/>
  <c r="Q8" i="12" s="1"/>
  <c r="M7" i="12"/>
  <c r="M6" i="12"/>
  <c r="AD10" i="10"/>
  <c r="AD12" i="10"/>
  <c r="AD14" i="10"/>
  <c r="AD16" i="10"/>
  <c r="AD18" i="10"/>
  <c r="T14" i="12" l="1"/>
  <c r="AG10" i="12"/>
  <c r="AG7" i="12"/>
  <c r="T8" i="12"/>
  <c r="S5" i="12"/>
  <c r="T5" i="12"/>
  <c r="T6" i="12"/>
  <c r="Q9" i="12"/>
  <c r="S9" i="12"/>
  <c r="Q5" i="12"/>
  <c r="Q14" i="12"/>
  <c r="S14" i="12"/>
  <c r="Q10" i="12"/>
  <c r="S7" i="12"/>
  <c r="Q6" i="12"/>
  <c r="S6" i="12"/>
  <c r="Q7" i="12"/>
  <c r="I5" i="12" l="1"/>
  <c r="H5" i="12"/>
  <c r="F13" i="10"/>
  <c r="F15" i="10"/>
  <c r="F16" i="10"/>
  <c r="F14" i="10"/>
  <c r="F10" i="10"/>
  <c r="F11" i="10"/>
  <c r="F18" i="10"/>
  <c r="F17" i="10"/>
  <c r="F12" i="10"/>
  <c r="AD13" i="12"/>
  <c r="G17" i="10" s="1"/>
  <c r="AD10" i="12"/>
  <c r="G14" i="10" s="1"/>
  <c r="AD11" i="12"/>
  <c r="G15" i="10" s="1"/>
  <c r="AD12" i="12"/>
  <c r="G16" i="10" s="1"/>
  <c r="AD7" i="12"/>
  <c r="G11" i="10" s="1"/>
  <c r="AD9" i="12"/>
  <c r="G13" i="10" s="1"/>
  <c r="AD6" i="12"/>
  <c r="G10" i="10" s="1"/>
  <c r="AD8" i="12"/>
  <c r="G12" i="10" s="1"/>
  <c r="AD14" i="12"/>
  <c r="G18" i="10" s="1"/>
  <c r="AG18" i="12"/>
  <c r="AG17" i="12"/>
  <c r="J21" i="10" s="1"/>
  <c r="AG16" i="12"/>
  <c r="J20" i="10" s="1"/>
  <c r="AG14" i="12"/>
  <c r="AG15" i="12"/>
  <c r="J19" i="10" s="1"/>
  <c r="AG13" i="12"/>
  <c r="J17" i="10" s="1"/>
  <c r="AG12" i="12"/>
  <c r="J16" i="10" s="1"/>
  <c r="AG11" i="12"/>
  <c r="J15" i="10" s="1"/>
  <c r="AG9" i="12"/>
  <c r="J13" i="10" s="1"/>
  <c r="AG8" i="12"/>
  <c r="J12" i="10" s="1"/>
  <c r="AG6" i="12"/>
  <c r="AG19" i="12"/>
  <c r="J14" i="10"/>
  <c r="T26" i="12"/>
  <c r="S26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AD5" i="12" l="1"/>
  <c r="G9" i="10" s="1"/>
  <c r="X5" i="12"/>
  <c r="W5" i="12"/>
  <c r="J5" i="12"/>
  <c r="AG5" i="12" s="1"/>
  <c r="AC5" i="12"/>
  <c r="F9" i="10" s="1"/>
  <c r="J22" i="10"/>
  <c r="J10" i="10"/>
  <c r="J11" i="10"/>
  <c r="J23" i="10"/>
  <c r="J18" i="10"/>
  <c r="F100" i="5"/>
  <c r="F99" i="5"/>
  <c r="D99" i="5"/>
  <c r="F35" i="5"/>
  <c r="F34" i="5"/>
  <c r="D34" i="5"/>
  <c r="F3" i="5"/>
  <c r="F2" i="5"/>
  <c r="D2" i="5"/>
  <c r="AA5" i="12" l="1"/>
  <c r="C9" i="10" s="1"/>
  <c r="U5" i="12"/>
  <c r="V5" i="12"/>
  <c r="J9" i="10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F7" i="21"/>
  <c r="E3" i="21"/>
  <c r="B20" i="28"/>
  <c r="C4" i="9"/>
  <c r="E39" i="20"/>
  <c r="B39" i="20" s="1"/>
  <c r="D22" i="21"/>
  <c r="D21" i="21"/>
  <c r="E19" i="21"/>
  <c r="F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D3" i="27"/>
  <c r="E3" i="27" s="1"/>
  <c r="E7" i="27" s="1"/>
  <c r="D11" i="21"/>
  <c r="F11" i="21" s="1"/>
  <c r="D9" i="21"/>
  <c r="F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U15" i="21" s="1"/>
  <c r="E12" i="21"/>
  <c r="F12" i="21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M24" i="12"/>
  <c r="M25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D4" i="27"/>
  <c r="E4" i="27" s="1"/>
  <c r="D5" i="27"/>
  <c r="E5" i="27" s="1"/>
  <c r="D6" i="27"/>
  <c r="E6" i="27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1" i="21" l="1"/>
  <c r="W11" i="21" s="1"/>
  <c r="M11" i="21"/>
  <c r="AA11" i="21" s="1"/>
  <c r="Q11" i="21"/>
  <c r="AE11" i="21" s="1"/>
  <c r="K11" i="21"/>
  <c r="Y11" i="21" s="1"/>
  <c r="O11" i="21"/>
  <c r="AC11" i="21" s="1"/>
  <c r="S11" i="21"/>
  <c r="AG11" i="21" s="1"/>
  <c r="R11" i="21"/>
  <c r="AF11" i="21" s="1"/>
  <c r="L11" i="21"/>
  <c r="Z11" i="21" s="1"/>
  <c r="H11" i="21"/>
  <c r="V11" i="21" s="1"/>
  <c r="J11" i="21"/>
  <c r="X11" i="21" s="1"/>
  <c r="P11" i="21"/>
  <c r="AD11" i="21" s="1"/>
  <c r="N11" i="21"/>
  <c r="AB11" i="21" s="1"/>
  <c r="H14" i="21"/>
  <c r="V14" i="21" s="1"/>
  <c r="L14" i="21"/>
  <c r="Z14" i="21" s="1"/>
  <c r="P14" i="21"/>
  <c r="AD14" i="21" s="1"/>
  <c r="J14" i="21"/>
  <c r="X14" i="21" s="1"/>
  <c r="N14" i="21"/>
  <c r="AB14" i="21" s="1"/>
  <c r="R14" i="21"/>
  <c r="AF14" i="21" s="1"/>
  <c r="O14" i="21"/>
  <c r="AC14" i="21" s="1"/>
  <c r="Q14" i="21"/>
  <c r="AE14" i="21" s="1"/>
  <c r="K14" i="21"/>
  <c r="Y14" i="21" s="1"/>
  <c r="S14" i="21"/>
  <c r="AG14" i="21" s="1"/>
  <c r="M14" i="21"/>
  <c r="AA14" i="21" s="1"/>
  <c r="I14" i="21"/>
  <c r="W14" i="21" s="1"/>
  <c r="H7" i="21"/>
  <c r="V7" i="21" s="1"/>
  <c r="M7" i="21"/>
  <c r="AA7" i="21" s="1"/>
  <c r="R7" i="21"/>
  <c r="AF7" i="21" s="1"/>
  <c r="P7" i="21"/>
  <c r="AD7" i="21" s="1"/>
  <c r="J7" i="21"/>
  <c r="X7" i="21" s="1"/>
  <c r="O7" i="21"/>
  <c r="AC7" i="21" s="1"/>
  <c r="Q7" i="21"/>
  <c r="AE7" i="21" s="1"/>
  <c r="K7" i="21"/>
  <c r="Y7" i="21" s="1"/>
  <c r="I7" i="21"/>
  <c r="W7" i="21" s="1"/>
  <c r="N7" i="21"/>
  <c r="AB7" i="21" s="1"/>
  <c r="S7" i="21"/>
  <c r="AG7" i="21" s="1"/>
  <c r="L7" i="21"/>
  <c r="Z7" i="21" s="1"/>
  <c r="H34" i="20"/>
  <c r="H12" i="21"/>
  <c r="V12" i="21" s="1"/>
  <c r="L12" i="21"/>
  <c r="Z12" i="21" s="1"/>
  <c r="P12" i="21"/>
  <c r="AD12" i="21" s="1"/>
  <c r="J12" i="21"/>
  <c r="X12" i="21" s="1"/>
  <c r="N12" i="21"/>
  <c r="AB12" i="21" s="1"/>
  <c r="R12" i="21"/>
  <c r="AF12" i="21" s="1"/>
  <c r="O12" i="21"/>
  <c r="AC12" i="21" s="1"/>
  <c r="K12" i="21"/>
  <c r="Y12" i="21" s="1"/>
  <c r="S12" i="21"/>
  <c r="AG12" i="21" s="1"/>
  <c r="I12" i="21"/>
  <c r="W12" i="21" s="1"/>
  <c r="Q12" i="21"/>
  <c r="AE12" i="21" s="1"/>
  <c r="M12" i="21"/>
  <c r="AA12" i="21" s="1"/>
  <c r="H19" i="21"/>
  <c r="V19" i="21" s="1"/>
  <c r="L19" i="21"/>
  <c r="Z19" i="21" s="1"/>
  <c r="P19" i="21"/>
  <c r="AD19" i="21" s="1"/>
  <c r="J19" i="21"/>
  <c r="X19" i="21" s="1"/>
  <c r="N19" i="21"/>
  <c r="AB19" i="21" s="1"/>
  <c r="R19" i="21"/>
  <c r="AF19" i="21" s="1"/>
  <c r="O19" i="21"/>
  <c r="AC19" i="21" s="1"/>
  <c r="I19" i="21"/>
  <c r="W19" i="21" s="1"/>
  <c r="Q19" i="21"/>
  <c r="AE19" i="21" s="1"/>
  <c r="K19" i="21"/>
  <c r="Y19" i="21" s="1"/>
  <c r="S19" i="21"/>
  <c r="AG19" i="21" s="1"/>
  <c r="M19" i="21"/>
  <c r="AA19" i="21" s="1"/>
  <c r="F27" i="20"/>
  <c r="P8" i="21"/>
  <c r="AD8" i="21" s="1"/>
  <c r="J8" i="21"/>
  <c r="X8" i="21" s="1"/>
  <c r="O8" i="21"/>
  <c r="AC8" i="21" s="1"/>
  <c r="S8" i="21"/>
  <c r="AG8" i="21" s="1"/>
  <c r="H8" i="21"/>
  <c r="V8" i="21" s="1"/>
  <c r="M8" i="21"/>
  <c r="AA8" i="21" s="1"/>
  <c r="R8" i="21"/>
  <c r="AF8" i="21" s="1"/>
  <c r="N8" i="21"/>
  <c r="AB8" i="21" s="1"/>
  <c r="L8" i="21"/>
  <c r="Z8" i="21" s="1"/>
  <c r="Q8" i="21"/>
  <c r="AE8" i="21" s="1"/>
  <c r="K8" i="21"/>
  <c r="Y8" i="21" s="1"/>
  <c r="I8" i="21"/>
  <c r="W8" i="21" s="1"/>
  <c r="K15" i="21"/>
  <c r="Y15" i="21" s="1"/>
  <c r="S15" i="21"/>
  <c r="AG15" i="21" s="1"/>
  <c r="M15" i="21"/>
  <c r="AA15" i="21" s="1"/>
  <c r="Q15" i="21"/>
  <c r="AE15" i="21" s="1"/>
  <c r="I15" i="21"/>
  <c r="W15" i="21" s="1"/>
  <c r="J15" i="21"/>
  <c r="X15" i="21" s="1"/>
  <c r="L15" i="21"/>
  <c r="Z15" i="21" s="1"/>
  <c r="R15" i="21"/>
  <c r="AF15" i="21" s="1"/>
  <c r="N15" i="21"/>
  <c r="AB15" i="21" s="1"/>
  <c r="P15" i="21"/>
  <c r="AD15" i="21" s="1"/>
  <c r="H15" i="21"/>
  <c r="V15" i="21" s="1"/>
  <c r="O15" i="21"/>
  <c r="AC15" i="21" s="1"/>
  <c r="I9" i="21"/>
  <c r="W9" i="21" s="1"/>
  <c r="M9" i="21"/>
  <c r="AA9" i="21" s="1"/>
  <c r="Q9" i="21"/>
  <c r="AE9" i="21" s="1"/>
  <c r="K9" i="21"/>
  <c r="Y9" i="21" s="1"/>
  <c r="O9" i="21"/>
  <c r="AC9" i="21" s="1"/>
  <c r="S9" i="21"/>
  <c r="AG9" i="21" s="1"/>
  <c r="N9" i="21"/>
  <c r="AB9" i="21" s="1"/>
  <c r="P9" i="21"/>
  <c r="AD9" i="21" s="1"/>
  <c r="L9" i="21"/>
  <c r="Z9" i="21" s="1"/>
  <c r="J9" i="21"/>
  <c r="X9" i="21" s="1"/>
  <c r="H9" i="21"/>
  <c r="V9" i="21" s="1"/>
  <c r="R9" i="21"/>
  <c r="AF9" i="21" s="1"/>
  <c r="L6" i="27"/>
  <c r="H16" i="20" s="1"/>
  <c r="J5" i="27"/>
  <c r="D15" i="20" s="1"/>
  <c r="L5" i="27"/>
  <c r="H15" i="20" s="1"/>
  <c r="J4" i="27"/>
  <c r="D14" i="20" s="1"/>
  <c r="L4" i="27"/>
  <c r="H14" i="20" s="1"/>
  <c r="J3" i="27"/>
  <c r="D12" i="20" s="1"/>
  <c r="L3" i="27"/>
  <c r="H12" i="20" s="1"/>
  <c r="K6" i="27"/>
  <c r="J6" i="27"/>
  <c r="D16" i="20" s="1"/>
  <c r="C71" i="9"/>
  <c r="G32" i="20"/>
  <c r="E32" i="20"/>
  <c r="B32" i="20" s="1"/>
  <c r="K3" i="27"/>
  <c r="K5" i="27"/>
  <c r="K4" i="27"/>
  <c r="E16" i="20"/>
  <c r="F18" i="21"/>
  <c r="U18" i="21" s="1"/>
  <c r="F42" i="20"/>
  <c r="G32" i="10" s="1"/>
  <c r="G29" i="28"/>
  <c r="G27" i="32"/>
  <c r="H32" i="20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U13" i="21" s="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E15" i="20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M21" i="12"/>
  <c r="M23" i="12"/>
  <c r="M22" i="12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D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G31" i="30"/>
  <c r="G31" i="31"/>
  <c r="C57" i="9"/>
  <c r="D72" i="5"/>
  <c r="G17" i="30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F87" i="5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D9" i="5" l="1"/>
  <c r="G33" i="29"/>
  <c r="I10" i="21"/>
  <c r="W10" i="21" s="1"/>
  <c r="N10" i="21"/>
  <c r="AB10" i="21" s="1"/>
  <c r="S10" i="21"/>
  <c r="AG10" i="21" s="1"/>
  <c r="M10" i="21"/>
  <c r="AA10" i="21" s="1"/>
  <c r="L10" i="21"/>
  <c r="Z10" i="21" s="1"/>
  <c r="Q10" i="21"/>
  <c r="AE10" i="21" s="1"/>
  <c r="K10" i="21"/>
  <c r="Y10" i="21" s="1"/>
  <c r="R10" i="21"/>
  <c r="AF10" i="21" s="1"/>
  <c r="P10" i="21"/>
  <c r="AD10" i="21" s="1"/>
  <c r="J10" i="21"/>
  <c r="X10" i="21" s="1"/>
  <c r="O10" i="21"/>
  <c r="AC10" i="21" s="1"/>
  <c r="H10" i="21"/>
  <c r="V10" i="21" s="1"/>
  <c r="K13" i="21"/>
  <c r="Y13" i="21" s="1"/>
  <c r="S13" i="21"/>
  <c r="AG13" i="21" s="1"/>
  <c r="O13" i="21"/>
  <c r="AC13" i="21" s="1"/>
  <c r="M13" i="21"/>
  <c r="AA13" i="21" s="1"/>
  <c r="I13" i="21"/>
  <c r="W13" i="21" s="1"/>
  <c r="Q13" i="21"/>
  <c r="AE13" i="21" s="1"/>
  <c r="R13" i="21"/>
  <c r="AF13" i="21" s="1"/>
  <c r="N13" i="21"/>
  <c r="AB13" i="21" s="1"/>
  <c r="L13" i="21"/>
  <c r="Z13" i="21" s="1"/>
  <c r="P13" i="21"/>
  <c r="AD13" i="21" s="1"/>
  <c r="H13" i="21"/>
  <c r="V13" i="21" s="1"/>
  <c r="J13" i="21"/>
  <c r="X13" i="21" s="1"/>
  <c r="I22" i="21"/>
  <c r="W22" i="21" s="1"/>
  <c r="Q22" i="21"/>
  <c r="AE22" i="21" s="1"/>
  <c r="O22" i="21"/>
  <c r="AC22" i="21" s="1"/>
  <c r="H22" i="21"/>
  <c r="V22" i="21" s="1"/>
  <c r="N22" i="21"/>
  <c r="AB22" i="21" s="1"/>
  <c r="M22" i="21"/>
  <c r="AA22" i="21" s="1"/>
  <c r="K22" i="21"/>
  <c r="Y22" i="21" s="1"/>
  <c r="P22" i="21"/>
  <c r="AD22" i="21" s="1"/>
  <c r="R22" i="21"/>
  <c r="AF22" i="21" s="1"/>
  <c r="J22" i="21"/>
  <c r="X22" i="21" s="1"/>
  <c r="S22" i="21"/>
  <c r="AG22" i="21" s="1"/>
  <c r="L22" i="21"/>
  <c r="Z22" i="21" s="1"/>
  <c r="H18" i="21"/>
  <c r="V18" i="21" s="1"/>
  <c r="L18" i="21"/>
  <c r="Z18" i="21" s="1"/>
  <c r="P18" i="21"/>
  <c r="AD18" i="21" s="1"/>
  <c r="J18" i="21"/>
  <c r="X18" i="21" s="1"/>
  <c r="N18" i="21"/>
  <c r="AB18" i="21" s="1"/>
  <c r="R18" i="21"/>
  <c r="AF18" i="21" s="1"/>
  <c r="O18" i="21"/>
  <c r="AC18" i="21" s="1"/>
  <c r="K18" i="21"/>
  <c r="Y18" i="21" s="1"/>
  <c r="S18" i="21"/>
  <c r="AG18" i="21" s="1"/>
  <c r="I18" i="21"/>
  <c r="W18" i="21" s="1"/>
  <c r="Q18" i="21"/>
  <c r="AE18" i="21" s="1"/>
  <c r="M18" i="21"/>
  <c r="AA18" i="21" s="1"/>
  <c r="K21" i="21"/>
  <c r="Y21" i="21" s="1"/>
  <c r="O21" i="21"/>
  <c r="AC21" i="21" s="1"/>
  <c r="I21" i="21"/>
  <c r="W21" i="21" s="1"/>
  <c r="S21" i="21"/>
  <c r="AG21" i="21" s="1"/>
  <c r="Q21" i="21"/>
  <c r="AE21" i="21" s="1"/>
  <c r="M21" i="21"/>
  <c r="AA21" i="21" s="1"/>
  <c r="N21" i="21"/>
  <c r="AB21" i="21" s="1"/>
  <c r="H21" i="21"/>
  <c r="V21" i="21" s="1"/>
  <c r="L21" i="21"/>
  <c r="Z21" i="21" s="1"/>
  <c r="J21" i="21"/>
  <c r="X21" i="21" s="1"/>
  <c r="R21" i="21"/>
  <c r="AF21" i="21" s="1"/>
  <c r="P21" i="21"/>
  <c r="AD21" i="21" s="1"/>
  <c r="C14" i="24"/>
  <c r="C24" i="24"/>
  <c r="C41" i="24"/>
  <c r="D8" i="5"/>
  <c r="E87" i="5"/>
  <c r="D87" i="5" s="1"/>
  <c r="B34" i="20"/>
  <c r="I70" i="5"/>
  <c r="H70" i="5" s="1"/>
  <c r="L22" i="20"/>
  <c r="J70" i="5" s="1"/>
  <c r="D10" i="5"/>
  <c r="F17" i="21"/>
  <c r="U17" i="21" s="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F81" i="5"/>
  <c r="D81" i="5" s="1"/>
  <c r="L81" i="5" s="1"/>
  <c r="F82" i="5"/>
  <c r="D82" i="5" s="1"/>
  <c r="L82" i="5" s="1"/>
  <c r="F3" i="21"/>
  <c r="U3" i="21" s="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C39" i="24"/>
  <c r="C37" i="24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G14" i="29"/>
  <c r="J27" i="20"/>
  <c r="J73" i="5" s="1"/>
  <c r="H73" i="5" s="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C31" i="24"/>
  <c r="C18" i="24"/>
  <c r="C34" i="24"/>
  <c r="C28" i="24"/>
  <c r="L27" i="10"/>
  <c r="J63" i="5" s="1"/>
  <c r="Q26" i="12"/>
  <c r="M26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H17" i="21" l="1"/>
  <c r="V17" i="21" s="1"/>
  <c r="L17" i="21"/>
  <c r="Z17" i="21" s="1"/>
  <c r="P17" i="21"/>
  <c r="AD17" i="21" s="1"/>
  <c r="J17" i="21"/>
  <c r="X17" i="21" s="1"/>
  <c r="N17" i="21"/>
  <c r="AB17" i="21" s="1"/>
  <c r="R17" i="21"/>
  <c r="AF17" i="21" s="1"/>
  <c r="K17" i="21"/>
  <c r="Y17" i="21" s="1"/>
  <c r="S17" i="21"/>
  <c r="AG17" i="21" s="1"/>
  <c r="O17" i="21"/>
  <c r="AC17" i="21" s="1"/>
  <c r="Q17" i="21"/>
  <c r="AE17" i="21" s="1"/>
  <c r="I17" i="21"/>
  <c r="W17" i="21" s="1"/>
  <c r="M17" i="21"/>
  <c r="AA17" i="21" s="1"/>
  <c r="O20" i="21"/>
  <c r="AC20" i="21" s="1"/>
  <c r="K20" i="21"/>
  <c r="Y20" i="21" s="1"/>
  <c r="S20" i="21"/>
  <c r="AG20" i="21" s="1"/>
  <c r="M20" i="21"/>
  <c r="AA20" i="21" s="1"/>
  <c r="I20" i="21"/>
  <c r="W20" i="21" s="1"/>
  <c r="Q20" i="21"/>
  <c r="AE20" i="21" s="1"/>
  <c r="J20" i="21"/>
  <c r="X20" i="21" s="1"/>
  <c r="L20" i="21"/>
  <c r="Z20" i="21" s="1"/>
  <c r="H20" i="21"/>
  <c r="V20" i="21" s="1"/>
  <c r="R20" i="21"/>
  <c r="AF20" i="21" s="1"/>
  <c r="N20" i="21"/>
  <c r="AB20" i="21" s="1"/>
  <c r="P20" i="21"/>
  <c r="AD20" i="21" s="1"/>
  <c r="I3" i="21"/>
  <c r="W3" i="21" s="1"/>
  <c r="M3" i="21"/>
  <c r="AA3" i="21" s="1"/>
  <c r="Q3" i="21"/>
  <c r="AE3" i="21" s="1"/>
  <c r="K3" i="21"/>
  <c r="Y3" i="21" s="1"/>
  <c r="O3" i="21"/>
  <c r="AC3" i="21" s="1"/>
  <c r="S3" i="21"/>
  <c r="AG3" i="21" s="1"/>
  <c r="P3" i="21"/>
  <c r="AD3" i="21" s="1"/>
  <c r="J3" i="21"/>
  <c r="X3" i="21" s="1"/>
  <c r="R3" i="21"/>
  <c r="AF3" i="21" s="1"/>
  <c r="L3" i="21"/>
  <c r="Z3" i="21" s="1"/>
  <c r="N3" i="21"/>
  <c r="AB3" i="21" s="1"/>
  <c r="H3" i="21"/>
  <c r="V3" i="21" s="1"/>
  <c r="C64" i="9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U6" i="21" s="1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C17" i="9"/>
  <c r="C20" i="9"/>
  <c r="C18" i="9"/>
  <c r="G5" i="16"/>
  <c r="G4" i="16"/>
  <c r="C16" i="9"/>
  <c r="B21" i="24"/>
  <c r="C21" i="24" s="1"/>
  <c r="C24" i="9"/>
  <c r="C11" i="9"/>
  <c r="C10" i="16"/>
  <c r="C9" i="16"/>
  <c r="C6" i="16"/>
  <c r="C8" i="9"/>
  <c r="C15" i="9"/>
  <c r="C7" i="9"/>
  <c r="C3" i="16"/>
  <c r="C6" i="9"/>
  <c r="K25" i="20"/>
  <c r="D85" i="5"/>
  <c r="L85" i="5" s="1"/>
  <c r="F7" i="5"/>
  <c r="F88" i="5"/>
  <c r="G21" i="31" l="1"/>
  <c r="I6" i="21"/>
  <c r="N6" i="21"/>
  <c r="S6" i="21"/>
  <c r="L6" i="21"/>
  <c r="Q6" i="21"/>
  <c r="K6" i="21"/>
  <c r="P6" i="21"/>
  <c r="J6" i="21"/>
  <c r="O6" i="21"/>
  <c r="AC6" i="21" s="1"/>
  <c r="AB24" i="21" s="1"/>
  <c r="H6" i="21"/>
  <c r="V6" i="21" s="1"/>
  <c r="U24" i="21" s="1"/>
  <c r="M6" i="21"/>
  <c r="R6" i="21"/>
  <c r="N24" i="21"/>
  <c r="D42" i="24" s="1"/>
  <c r="G33" i="32"/>
  <c r="G36" i="31"/>
  <c r="G37" i="29"/>
  <c r="G36" i="30"/>
  <c r="G20" i="3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F73" i="5"/>
  <c r="D73" i="5" s="1"/>
  <c r="L73" i="5" s="1"/>
  <c r="G20" i="28"/>
  <c r="G21" i="28" s="1"/>
  <c r="A14" i="28" s="1"/>
  <c r="G35" i="30"/>
  <c r="G32" i="32"/>
  <c r="F78" i="5"/>
  <c r="D78" i="5" s="1"/>
  <c r="L78" i="5" s="1"/>
  <c r="G34" i="28"/>
  <c r="G35" i="29"/>
  <c r="F25" i="20"/>
  <c r="G35" i="3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J71" i="5"/>
  <c r="H71" i="5" s="1"/>
  <c r="L71" i="5" s="1"/>
  <c r="D88" i="5"/>
  <c r="L88" i="5" s="1"/>
  <c r="L24" i="21" l="1"/>
  <c r="B35" i="24" s="1"/>
  <c r="AA6" i="21"/>
  <c r="Z24" i="21" s="1"/>
  <c r="O24" i="21"/>
  <c r="B15" i="24" s="1"/>
  <c r="AD6" i="21"/>
  <c r="AC24" i="21" s="1"/>
  <c r="R24" i="21"/>
  <c r="AG6" i="21"/>
  <c r="AF24" i="21" s="1"/>
  <c r="J24" i="21"/>
  <c r="B25" i="24" s="1"/>
  <c r="C25" i="24" s="1"/>
  <c r="C23" i="24" s="1"/>
  <c r="E45" i="20" s="1"/>
  <c r="Y6" i="21"/>
  <c r="X24" i="21" s="1"/>
  <c r="M24" i="21"/>
  <c r="B32" i="24" s="1"/>
  <c r="AB6" i="21"/>
  <c r="AA24" i="21" s="1"/>
  <c r="P24" i="21"/>
  <c r="AE6" i="21"/>
  <c r="AD24" i="21" s="1"/>
  <c r="H24" i="21"/>
  <c r="B11" i="24" s="1"/>
  <c r="B9" i="24" s="1"/>
  <c r="C9" i="24" s="1"/>
  <c r="J41" i="20" s="1"/>
  <c r="W6" i="21"/>
  <c r="V24" i="21" s="1"/>
  <c r="Q24" i="21"/>
  <c r="AF6" i="21"/>
  <c r="AE24" i="21" s="1"/>
  <c r="I24" i="21"/>
  <c r="B22" i="24" s="1"/>
  <c r="C22" i="24" s="1"/>
  <c r="C17" i="24" s="1"/>
  <c r="E44" i="20" s="1"/>
  <c r="X6" i="21"/>
  <c r="W24" i="21" s="1"/>
  <c r="K24" i="21"/>
  <c r="B29" i="24" s="1"/>
  <c r="Z6" i="21"/>
  <c r="Y24" i="21" s="1"/>
  <c r="G22" i="31"/>
  <c r="A13" i="31" s="1"/>
  <c r="G38" i="3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B8" i="24"/>
  <c r="B5" i="24" s="1"/>
  <c r="C5" i="24" s="1"/>
  <c r="F70" i="5"/>
  <c r="E70" i="5"/>
  <c r="D70" i="5" s="1"/>
  <c r="C66" i="9" s="1"/>
  <c r="B23" i="24"/>
  <c r="B17" i="24"/>
  <c r="C69" i="9"/>
  <c r="E42" i="24"/>
  <c r="C70" i="9"/>
  <c r="C29" i="24" l="1"/>
  <c r="C27" i="24" s="1"/>
  <c r="J43" i="20" s="1"/>
  <c r="J33" i="10" s="1"/>
  <c r="B27" i="24"/>
  <c r="C15" i="24"/>
  <c r="C13" i="24" s="1"/>
  <c r="J42" i="20" s="1"/>
  <c r="J32" i="10" s="1"/>
  <c r="B13" i="24"/>
  <c r="J31" i="10"/>
  <c r="D97" i="5"/>
  <c r="C79" i="9" s="1"/>
  <c r="C32" i="24"/>
  <c r="C30" i="24" s="1"/>
  <c r="J45" i="20" s="1"/>
  <c r="B30" i="24"/>
  <c r="C35" i="24"/>
  <c r="C33" i="24" s="1"/>
  <c r="J44" i="20" s="1"/>
  <c r="B33" i="24"/>
  <c r="H97" i="5"/>
  <c r="C84" i="9" s="1"/>
  <c r="F77" i="5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F97" i="5" l="1"/>
  <c r="C82" i="9" s="1"/>
  <c r="J97" i="5"/>
  <c r="C87" i="9" s="1"/>
  <c r="J35" i="10"/>
  <c r="J34" i="10"/>
  <c r="H98" i="5"/>
  <c r="C85" i="9" s="1"/>
  <c r="C67" i="9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<sst xmlns="http://schemas.openxmlformats.org/spreadsheetml/2006/main" count="10811" uniqueCount="5384">
  <si>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</si>
  <si>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</si>
  <si>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</si>
  <si>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</si>
  <si>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</si>
  <si>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</si>
  <si>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</si>
  <si>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</si>
  <si>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</si>
  <si>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</si>
  <si>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</si>
  <si>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</si>
  <si>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</si>
  <si>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</si>
  <si>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</si>
  <si>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</si>
  <si>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</si>
  <si>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</si>
  <si>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</si>
  <si>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</si>
  <si>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</si>
  <si>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</si>
  <si>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</si>
  <si>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</si>
  <si>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</si>
  <si>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</si>
  <si>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</si>
  <si>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</si>
  <si>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</si>
  <si>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</si>
  <si>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</si>
  <si>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</si>
  <si>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</si>
  <si>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</si>
  <si>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</si>
  <si>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</si>
  <si>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</si>
  <si>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</si>
  <si>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</si>
  <si>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</si>
  <si>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</si>
  <si>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</si>
  <si>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</si>
  <si>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</si>
  <si>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</si>
  <si>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</si>
  <si>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</si>
  <si>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</si>
  <si>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</si>
  <si>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</si>
  <si>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</si>
  <si>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</si>
  <si>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</si>
  <si>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</si>
  <si>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</si>
  <si>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</si>
  <si>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</si>
  <si>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</si>
  <si>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albumine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</si>
  <si>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</si>
  <si>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</si>
  <si>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</si>
  <si>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</si>
  <si>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</si>
  <si>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</si>
  <si>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</si>
  <si>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</si>
  <si>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</si>
  <si>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</si>
  <si>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</si>
  <si>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</si>
  <si>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</si>
  <si>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</si>
  <si>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</si>
  <si>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</si>
  <si>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</si>
  <si>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</si>
  <si>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</si>
  <si>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</si>
  <si>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</si>
  <si>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</si>
  <si>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</si>
  <si>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</si>
  <si>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</si>
  <si>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</si>
  <si>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</si>
  <si>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</si>
  <si>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</si>
  <si>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</si>
  <si>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</si>
  <si>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</si>
  <si>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</si>
  <si>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</si>
  <si>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</si>
  <si>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</si>
  <si>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</si>
  <si>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</si>
  <si>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</si>
  <si>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</si>
  <si>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</si>
  <si>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</si>
  <si>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</si>
  <si>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</si>
  <si>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</si>
  <si>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</si>
  <si>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</si>
  <si>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</si>
  <si>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</si>
  <si>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Volume stand</t>
  </si>
  <si>
    <t>extra glucose 5%</t>
  </si>
  <si>
    <t>calorieen</t>
  </si>
  <si>
    <t>Totaal</t>
  </si>
  <si>
    <t>frequentie</t>
  </si>
  <si>
    <t>Wel/niet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</si>
  <si>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</si>
  <si>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</si>
  <si>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</si>
  <si>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</si>
  <si>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</si>
  <si>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</si>
  <si>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</si>
  <si>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</si>
  <si>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</si>
  <si>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</si>
  <si>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</si>
  <si>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</si>
  <si>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</si>
  <si>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</si>
  <si>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</si>
  <si>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</si>
  <si>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</si>
  <si>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</si>
  <si>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</si>
  <si>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</si>
  <si>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</si>
  <si>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</si>
  <si>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</si>
  <si>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</si>
  <si>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</si>
  <si>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</si>
  <si>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</si>
  <si>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</si>
  <si>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</si>
  <si>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</si>
  <si>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</si>
  <si>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</si>
  <si>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</si>
  <si>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</si>
  <si>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lokaal</t>
  </si>
  <si>
    <t>alprostadil</t>
  </si>
  <si>
    <t>Oplossing</t>
  </si>
  <si>
    <t>Perifeer infuus 1: medicatie</t>
  </si>
  <si>
    <t>Arterielijn:</t>
  </si>
  <si>
    <t>extra glucose 10%</t>
  </si>
  <si>
    <t>Sonde: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</si>
  <si>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</si>
  <si>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</si>
  <si>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</si>
  <si>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</si>
  <si>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</si>
  <si>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</si>
  <si>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</si>
  <si>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</si>
  <si>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</si>
  <si>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</si>
  <si>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</si>
  <si>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</si>
  <si>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</si>
  <si>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</si>
  <si>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</si>
  <si>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</si>
  <si>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</si>
  <si>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</si>
  <si>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</si>
  <si>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</si>
  <si>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</si>
  <si>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</si>
  <si>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</si>
  <si>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</si>
  <si>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</si>
  <si>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</si>
  <si>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</si>
  <si>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</si>
  <si>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</si>
  <si>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</si>
  <si>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</si>
  <si>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</si>
  <si>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</si>
  <si>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</si>
  <si>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</si>
  <si>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</si>
  <si>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</si>
  <si>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</si>
  <si>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</si>
  <si>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</si>
  <si>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</si>
  <si>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</si>
  <si>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</si>
  <si>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</si>
  <si>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</si>
  <si>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</si>
  <si>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</si>
  <si>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</si>
  <si>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</si>
  <si>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</si>
  <si>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</si>
  <si>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</si>
  <si>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</si>
  <si>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</si>
  <si>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</si>
  <si>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</si>
  <si>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</si>
  <si>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</si>
  <si>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</si>
  <si>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</si>
  <si>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</si>
  <si>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</si>
  <si>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</si>
  <si>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</si>
  <si>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</si>
  <si>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</si>
  <si>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</si>
  <si>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</si>
  <si>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</si>
  <si>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</si>
  <si>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</si>
  <si>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</si>
  <si>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</si>
  <si>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</si>
  <si>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</si>
  <si>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</si>
  <si>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</si>
  <si>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</si>
  <si>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</si>
  <si>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</si>
  <si>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</si>
  <si>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</si>
  <si>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</si>
  <si>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</si>
  <si>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</si>
  <si>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</si>
  <si>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</si>
  <si>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</si>
  <si>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</si>
  <si>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</si>
  <si>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</si>
  <si>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</si>
  <si>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</si>
  <si>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</si>
  <si>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</si>
  <si>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</si>
  <si>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</si>
  <si>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</si>
  <si>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</si>
  <si>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</si>
  <si>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</si>
  <si>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</si>
  <si>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</si>
  <si>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</si>
  <si>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</si>
  <si>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</si>
  <si>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</si>
  <si>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</si>
  <si>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</si>
  <si>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</si>
  <si>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</si>
  <si>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</si>
  <si>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</si>
  <si>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</si>
  <si>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</si>
  <si>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</si>
  <si>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</si>
  <si>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</si>
  <si>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</si>
  <si>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</si>
  <si>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</si>
  <si>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</si>
  <si>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</si>
  <si>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</si>
  <si>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</si>
  <si>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</si>
  <si>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</si>
  <si>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</si>
  <si>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</si>
  <si>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</si>
  <si>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</si>
  <si>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</si>
  <si>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</si>
  <si>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</si>
  <si>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</si>
  <si>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</si>
  <si>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</si>
  <si>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</si>
  <si>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</si>
  <si>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</si>
  <si>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</si>
  <si>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</si>
  <si>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</si>
  <si>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</si>
  <si>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</si>
  <si>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</si>
  <si>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</si>
  <si>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</si>
  <si>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</si>
  <si>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</si>
  <si>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</si>
  <si>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</si>
  <si>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</si>
  <si>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</si>
  <si>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</si>
  <si>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</si>
  <si>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</si>
  <si>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</si>
  <si>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</si>
  <si>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</si>
  <si>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</si>
  <si>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</si>
  <si>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</si>
  <si>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</si>
  <si>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</si>
  <si>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</si>
  <si>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</si>
  <si>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</si>
  <si>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</si>
  <si>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</si>
  <si>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</si>
  <si>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</si>
  <si>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</si>
  <si>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</si>
  <si>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</si>
  <si>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</si>
  <si>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</si>
  <si>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</si>
  <si>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</si>
  <si>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</si>
  <si>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</si>
  <si>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</si>
  <si>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</si>
  <si>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</si>
  <si>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</si>
  <si>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</si>
  <si>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</si>
  <si>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</si>
  <si>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</si>
  <si>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</si>
  <si>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</si>
  <si>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</si>
  <si>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</si>
  <si>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</si>
  <si>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</si>
  <si>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</si>
  <si>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</si>
  <si>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</si>
  <si>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</si>
  <si>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</si>
  <si>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</si>
  <si>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</si>
  <si>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</si>
  <si>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</si>
  <si>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</si>
  <si>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</si>
  <si>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</si>
  <si>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</si>
  <si>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</si>
  <si>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</si>
  <si>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</si>
  <si>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</si>
  <si>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</si>
  <si>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</si>
  <si>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</si>
  <si>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</si>
  <si>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</si>
  <si>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</si>
  <si>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</si>
  <si>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</si>
  <si>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</si>
  <si>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</si>
  <si>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</si>
  <si>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</si>
  <si>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</si>
  <si>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</si>
  <si>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</si>
  <si>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</si>
  <si>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</si>
  <si>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</si>
  <si>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</si>
  <si>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</si>
  <si>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</si>
  <si>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</si>
  <si>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</si>
  <si>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</si>
  <si>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</si>
  <si>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</si>
  <si>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</si>
  <si>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</si>
  <si>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</si>
  <si>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</si>
  <si>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</si>
  <si>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</si>
  <si>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</si>
  <si>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</si>
  <si>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</si>
  <si>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</si>
  <si>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</si>
  <si>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</si>
  <si>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</si>
  <si>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</si>
  <si>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</si>
  <si>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</si>
  <si>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</si>
  <si>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</si>
  <si>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</si>
  <si>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</si>
  <si>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</si>
  <si>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</si>
  <si>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</si>
  <si>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</si>
  <si>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</si>
  <si>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</si>
  <si>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</si>
  <si>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</si>
  <si>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</si>
  <si>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</si>
  <si>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</si>
  <si>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</si>
  <si>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</si>
  <si>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</si>
  <si>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</si>
  <si>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</si>
  <si>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</si>
  <si>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</si>
  <si>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</si>
  <si>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</si>
  <si>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</si>
  <si>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</si>
  <si>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</si>
  <si>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</si>
  <si>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</si>
  <si>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</si>
  <si>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</si>
  <si>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</si>
  <si>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</si>
  <si>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</si>
  <si>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</si>
  <si>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</si>
  <si>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</si>
  <si>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</si>
  <si>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</si>
  <si>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</si>
  <si>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</si>
  <si>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</si>
  <si>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</si>
  <si>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</si>
  <si>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</si>
  <si>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</si>
  <si>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</si>
  <si>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</si>
  <si>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</si>
  <si>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</si>
  <si>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</si>
  <si>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</si>
  <si>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</si>
  <si>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</si>
  <si>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</si>
  <si>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</si>
  <si>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</si>
  <si>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</si>
  <si>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</si>
  <si>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</si>
  <si>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</si>
  <si>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</si>
  <si>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</si>
  <si>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</si>
  <si>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</si>
  <si>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</si>
  <si>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</si>
  <si>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</si>
  <si>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</si>
  <si>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</si>
  <si>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</si>
  <si>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</si>
  <si>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</si>
  <si>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</si>
  <si>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</si>
  <si>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</si>
  <si>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</si>
  <si>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</si>
  <si>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</si>
  <si>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Sonde keuze</t>
  </si>
  <si>
    <t>Bed</t>
  </si>
  <si>
    <t>Bed: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</si>
  <si>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</si>
  <si>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</si>
  <si>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</si>
  <si>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</si>
  <si>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</si>
  <si>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</si>
  <si>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</si>
  <si>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</si>
  <si>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</si>
  <si>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</si>
  <si>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</si>
  <si>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</si>
  <si>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</si>
  <si>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</si>
  <si>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</si>
  <si>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</si>
  <si>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</si>
  <si>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</si>
  <si>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</si>
  <si>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</si>
  <si>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</si>
  <si>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</si>
  <si>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</si>
  <si>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</si>
  <si>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</si>
  <si>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</si>
  <si>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</si>
  <si>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</si>
  <si>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</si>
  <si>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</si>
  <si>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</si>
  <si>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</si>
  <si>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</si>
  <si>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</si>
  <si>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</si>
  <si>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</si>
  <si>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</si>
  <si>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</si>
  <si>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</si>
  <si>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</si>
  <si>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</si>
  <si>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</si>
  <si>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</si>
  <si>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</si>
  <si>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</si>
  <si>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</si>
  <si>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</si>
  <si>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</si>
  <si>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</si>
  <si>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</si>
  <si>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</si>
  <si>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</si>
  <si>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</si>
  <si>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</si>
  <si>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</si>
  <si>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</si>
  <si>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</si>
  <si>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</si>
  <si>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</si>
  <si>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</si>
  <si>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</si>
  <si>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</si>
  <si>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</si>
  <si>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</si>
  <si>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</si>
  <si>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</si>
  <si>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</si>
  <si>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</si>
  <si>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</si>
  <si>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</si>
  <si>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</si>
  <si>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</si>
  <si>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</si>
  <si>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</si>
  <si>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</si>
  <si>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</si>
  <si>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</si>
  <si>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</si>
  <si>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</si>
  <si>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</si>
  <si>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</si>
  <si>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</si>
  <si>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</si>
  <si>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</si>
  <si>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</si>
  <si>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</si>
  <si>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</si>
  <si>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</si>
  <si>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</si>
  <si>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</si>
  <si>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</si>
  <si>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</si>
  <si>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</si>
  <si>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</si>
  <si>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</si>
  <si>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</si>
  <si>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</si>
  <si>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</si>
  <si>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</si>
  <si>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</si>
  <si>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</si>
  <si>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</si>
  <si>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</si>
  <si>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</si>
  <si>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</si>
  <si>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</si>
  <si>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</si>
  <si>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</si>
  <si>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</si>
  <si>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</si>
  <si>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</si>
  <si>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</si>
  <si>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</si>
  <si>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</si>
  <si>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</si>
  <si>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</si>
  <si>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</si>
  <si>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</si>
  <si>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</si>
  <si>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</si>
  <si>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</si>
  <si>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</si>
  <si>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</si>
  <si>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</si>
  <si>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</si>
  <si>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</si>
  <si>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</si>
  <si>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</si>
  <si>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</si>
  <si>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</si>
  <si>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</si>
  <si>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</si>
  <si>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</si>
  <si>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</si>
  <si>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</si>
  <si>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</si>
  <si>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</si>
  <si>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</si>
  <si>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</si>
  <si>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</si>
  <si>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</si>
  <si>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</si>
  <si>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</si>
  <si>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</si>
  <si>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</si>
  <si>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</si>
  <si>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</si>
  <si>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</si>
  <si>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</si>
  <si>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</si>
  <si>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</si>
  <si>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</si>
  <si>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</si>
  <si>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</si>
  <si>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</si>
  <si>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</si>
  <si>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</si>
  <si>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</si>
  <si>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</si>
  <si>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</si>
  <si>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</si>
  <si>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</si>
  <si>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</si>
  <si>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</si>
  <si>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</si>
  <si>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</si>
  <si>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</si>
  <si>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</si>
  <si>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</si>
  <si>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</si>
  <si>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</si>
  <si>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</si>
  <si>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</si>
  <si>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</si>
  <si>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</si>
  <si>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</si>
  <si>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</si>
  <si>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</si>
  <si>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</si>
  <si>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</si>
  <si>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</si>
  <si>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</si>
  <si>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</si>
  <si>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</si>
  <si>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</si>
  <si>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</si>
  <si>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</si>
  <si>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</si>
  <si>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</si>
  <si>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</si>
  <si>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</si>
  <si>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</si>
  <si>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</si>
  <si>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</si>
  <si>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</si>
  <si>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</si>
  <si>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</si>
  <si>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</si>
  <si>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</si>
  <si>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</si>
  <si>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</si>
  <si>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</si>
  <si>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</si>
  <si>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</si>
  <si>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</si>
  <si>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</si>
  <si>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</si>
  <si>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</si>
  <si>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</si>
  <si>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</si>
  <si>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</si>
  <si>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</si>
  <si>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</si>
  <si>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</si>
  <si>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</si>
  <si>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</si>
  <si>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</si>
  <si>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</si>
  <si>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</si>
  <si>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</si>
  <si>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</si>
  <si>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</si>
  <si>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</si>
  <si>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</si>
  <si>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</si>
  <si>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</si>
  <si>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</si>
  <si>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</si>
  <si>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</si>
  <si>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</si>
  <si>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</si>
  <si>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</si>
  <si>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</si>
  <si>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</si>
  <si>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</si>
  <si>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</si>
  <si>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</si>
  <si>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</si>
  <si>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</si>
  <si>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</si>
  <si>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</si>
  <si>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</si>
  <si>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</si>
  <si>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</si>
  <si>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</si>
  <si>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</si>
  <si>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</si>
  <si>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</si>
  <si>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</si>
  <si>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</si>
  <si>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</si>
  <si>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</si>
  <si>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</si>
  <si>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</si>
  <si>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</si>
  <si>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</si>
  <si>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</si>
  <si>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</si>
  <si>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</si>
  <si>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</si>
  <si>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</si>
  <si>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</si>
  <si>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</si>
  <si>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</si>
  <si>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</si>
  <si>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</si>
  <si>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</si>
  <si>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</si>
  <si>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</si>
  <si>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</si>
  <si>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</si>
  <si>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</si>
  <si>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</si>
  <si>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</si>
  <si>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</si>
  <si>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</si>
  <si>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</si>
  <si>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</si>
  <si>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</si>
  <si>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</si>
  <si>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</si>
  <si>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</si>
  <si>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</si>
  <si>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</si>
  <si>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</si>
  <si>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</si>
  <si>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</si>
  <si>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</si>
  <si>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</si>
  <si>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</si>
  <si>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</si>
  <si>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</si>
  <si>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</si>
  <si>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</si>
  <si>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</si>
  <si>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</si>
  <si>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</si>
  <si>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</si>
  <si>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</si>
  <si>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</si>
  <si>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</si>
  <si>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</si>
  <si>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</si>
  <si>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</si>
  <si>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</si>
  <si>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</si>
  <si>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</si>
  <si>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</si>
  <si>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</si>
  <si>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</si>
  <si>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</si>
  <si>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</si>
  <si>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</si>
  <si>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</si>
  <si>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</si>
  <si>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</si>
  <si>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</si>
  <si>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</si>
  <si>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</si>
  <si>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</si>
  <si>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</si>
  <si>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</si>
  <si>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</si>
  <si>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</si>
  <si>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</si>
  <si>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</si>
  <si>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</si>
  <si>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</si>
  <si>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</si>
  <si>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</si>
  <si>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</si>
  <si>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</si>
  <si>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</si>
  <si>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</si>
  <si>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</si>
  <si>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</si>
  <si>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</si>
  <si>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</si>
  <si>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</si>
  <si>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</si>
  <si>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</si>
  <si>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</si>
  <si>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</si>
  <si>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</si>
  <si>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</si>
  <si>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</si>
  <si>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</si>
  <si>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</si>
  <si>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</si>
  <si>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</si>
  <si>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</si>
  <si>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</si>
  <si>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</si>
  <si>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</si>
  <si>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</si>
  <si>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</si>
  <si>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</si>
  <si>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</si>
  <si>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</si>
  <si>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</si>
  <si>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</si>
  <si>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</si>
  <si>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</si>
  <si>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</si>
  <si>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</si>
  <si>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</si>
  <si>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</si>
  <si>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</si>
  <si>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</si>
  <si>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</si>
  <si>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</si>
  <si>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</si>
  <si>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</si>
  <si>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</si>
  <si>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</si>
  <si>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</si>
  <si>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</si>
  <si>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</si>
  <si>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</si>
  <si>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</si>
  <si>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</si>
  <si>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</si>
  <si>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</si>
  <si>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</si>
  <si>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</si>
  <si>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</si>
  <si>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</si>
  <si>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</si>
  <si>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</si>
  <si>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</si>
  <si>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</si>
  <si>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</si>
  <si>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</si>
  <si>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</si>
  <si>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</si>
  <si>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</si>
  <si>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</si>
  <si>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</si>
  <si>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</si>
  <si>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</si>
  <si>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</si>
  <si>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</si>
  <si>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</si>
  <si>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</si>
  <si>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</si>
  <si>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</si>
  <si>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</si>
  <si>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</si>
  <si>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</si>
  <si>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</si>
  <si>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</si>
  <si>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</si>
  <si>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</si>
  <si>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</si>
  <si>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</si>
  <si>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</si>
  <si>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</si>
  <si>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</si>
  <si>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</si>
  <si>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</si>
  <si>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</si>
  <si>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</si>
  <si>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</si>
  <si>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</si>
  <si>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</si>
  <si>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</si>
  <si>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</si>
  <si>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</si>
  <si>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</si>
  <si>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</si>
  <si>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</si>
  <si>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</si>
  <si>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</si>
  <si>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</si>
  <si>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</si>
  <si>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</si>
  <si>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</si>
  <si>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</si>
  <si>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</si>
  <si>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</si>
  <si>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</si>
  <si>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</si>
  <si>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</si>
  <si>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</si>
  <si>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</si>
  <si>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</si>
  <si>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</si>
  <si>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</si>
  <si>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</si>
  <si>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</si>
  <si>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</si>
  <si>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</si>
  <si>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</si>
  <si>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</si>
  <si>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</si>
  <si>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</si>
  <si>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</si>
  <si>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</si>
  <si>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tblMedDiscToed</t>
  </si>
  <si>
    <t>tblMedDiscOplVl</t>
  </si>
  <si>
    <t>tblMedDiscTijdenIndex</t>
  </si>
  <si>
    <t>tblMedDiscTijden</t>
  </si>
  <si>
    <t>tblMedDiscEenh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</si>
  <si>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</si>
  <si>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</si>
  <si>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</si>
  <si>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</si>
  <si>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</si>
  <si>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</si>
  <si>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</si>
  <si>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</si>
  <si>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</si>
  <si>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</si>
  <si>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</si>
  <si>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</si>
  <si>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</si>
  <si>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</si>
  <si>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</si>
  <si>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</si>
  <si>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</si>
  <si>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</si>
  <si>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</si>
  <si>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</si>
  <si>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</si>
  <si>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</si>
  <si>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</si>
  <si>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</si>
  <si>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</si>
  <si>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</si>
  <si>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</si>
  <si>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</si>
  <si>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</si>
  <si>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</si>
  <si>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</si>
  <si>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</si>
  <si>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</si>
  <si>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</si>
  <si>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</si>
  <si>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</si>
  <si>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</si>
  <si>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</si>
  <si>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</si>
  <si>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</si>
  <si>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</si>
  <si>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</si>
  <si>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</si>
  <si>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</si>
  <si>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</si>
  <si>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</si>
  <si>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</si>
  <si>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</si>
  <si>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</si>
  <si>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</si>
  <si>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</si>
  <si>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</si>
  <si>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</si>
  <si>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</si>
  <si>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</si>
  <si>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</si>
  <si>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</si>
  <si>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</si>
  <si>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</si>
  <si>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</si>
  <si>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</si>
  <si>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</si>
  <si>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</si>
  <si>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</si>
  <si>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</si>
  <si>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</si>
  <si>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</si>
  <si>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</si>
  <si>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</si>
  <si>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</si>
  <si>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</si>
  <si>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</si>
  <si>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</si>
  <si>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</si>
  <si>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</si>
  <si>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</si>
  <si>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</si>
  <si>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</si>
  <si>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</si>
  <si>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</si>
  <si>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</si>
  <si>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</si>
  <si>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</si>
  <si>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</si>
  <si>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</si>
  <si>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</si>
  <si>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</si>
  <si>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</si>
  <si>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</si>
  <si>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</si>
  <si>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</si>
  <si>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</si>
  <si>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</si>
  <si>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</si>
  <si>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</si>
  <si>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</si>
  <si>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</si>
  <si>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</si>
  <si>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</si>
  <si>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</si>
  <si>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</si>
  <si>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</si>
  <si>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</si>
  <si>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</si>
  <si>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</si>
  <si>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</si>
  <si>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</si>
  <si>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</si>
  <si>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</si>
  <si>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</si>
  <si>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</si>
  <si>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</si>
  <si>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</si>
  <si>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</si>
  <si>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</si>
  <si>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</si>
  <si>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</si>
  <si>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</si>
  <si>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</si>
  <si>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</si>
  <si>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</si>
  <si>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</si>
  <si>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</si>
  <si>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</si>
  <si>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</si>
  <si>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tblInfusenBer</t>
  </si>
  <si>
    <t>tblMedDiscTijdenValues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</si>
  <si>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</si>
  <si>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</si>
  <si>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</si>
  <si>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</si>
  <si>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</si>
  <si>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</si>
  <si>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</si>
  <si>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</si>
  <si>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</si>
  <si>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</si>
  <si>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</si>
  <si>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</si>
  <si>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</si>
  <si>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</si>
  <si>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</si>
  <si>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</si>
  <si>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</si>
  <si>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</si>
  <si>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</si>
  <si>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</si>
  <si>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</si>
  <si>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</si>
  <si>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</si>
  <si>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</si>
  <si>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</si>
  <si>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</si>
  <si>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</si>
  <si>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</si>
  <si>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</si>
  <si>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</si>
  <si>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</si>
  <si>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</si>
  <si>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</si>
  <si>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</si>
  <si>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</si>
  <si>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</si>
  <si>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</si>
  <si>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</si>
  <si>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</si>
  <si>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</si>
  <si>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</si>
  <si>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</si>
  <si>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</si>
  <si>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</si>
  <si>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</si>
  <si>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</si>
  <si>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</si>
  <si>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</si>
  <si>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</si>
  <si>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</si>
  <si>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</si>
  <si>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</si>
  <si>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</si>
  <si>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</si>
  <si>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</si>
  <si>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</si>
  <si>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</si>
  <si>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</si>
  <si>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</si>
  <si>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</si>
  <si>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</si>
  <si>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</si>
  <si>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</si>
  <si>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</si>
  <si>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</si>
  <si>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</si>
  <si>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</si>
  <si>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</si>
  <si>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</si>
  <si>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</si>
  <si>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</si>
  <si>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</si>
  <si>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</si>
  <si>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</si>
  <si>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</si>
  <si>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</si>
  <si>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</si>
  <si>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</si>
  <si>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</si>
  <si>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</si>
  <si>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</si>
  <si>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</si>
  <si>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</si>
  <si>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</si>
  <si>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</si>
  <si>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</si>
  <si>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</si>
  <si>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</si>
  <si>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</si>
  <si>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</si>
  <si>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</si>
  <si>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</si>
  <si>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</si>
  <si>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</si>
  <si>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</si>
  <si>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</si>
  <si>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</si>
  <si>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</si>
  <si>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</si>
  <si>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</si>
  <si>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</si>
  <si>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</si>
  <si>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</si>
  <si>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</si>
  <si>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</si>
  <si>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</si>
  <si>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</si>
  <si>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</si>
  <si>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</si>
  <si>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</si>
  <si>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</si>
  <si>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</si>
  <si>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</si>
  <si>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</si>
  <si>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</si>
  <si>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</si>
  <si>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</si>
  <si>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</si>
  <si>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</si>
  <si>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</si>
  <si>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</si>
  <si>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</si>
  <si>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</si>
  <si>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</si>
  <si>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</si>
  <si>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</si>
  <si>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</si>
  <si>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</si>
  <si>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</si>
  <si>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</si>
  <si>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</si>
  <si>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</si>
  <si>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</si>
  <si>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</si>
  <si>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</si>
  <si>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</si>
  <si>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</si>
  <si>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</si>
  <si>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</si>
  <si>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</si>
  <si>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</si>
  <si>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</si>
  <si>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</si>
  <si>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</si>
  <si>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</si>
  <si>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</si>
  <si>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</si>
  <si>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</si>
  <si>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</si>
  <si>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</si>
  <si>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</si>
  <si>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</si>
  <si>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</si>
  <si>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</si>
  <si>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</si>
  <si>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</si>
  <si>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</si>
  <si>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</si>
  <si>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</si>
  <si>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</si>
  <si>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</si>
  <si>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</si>
  <si>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</si>
  <si>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</si>
  <si>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</si>
  <si>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</si>
  <si>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</si>
  <si>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</si>
  <si>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</si>
  <si>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</si>
  <si>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</si>
  <si>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</si>
  <si>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</si>
  <si>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</si>
  <si>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</si>
  <si>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</si>
  <si>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</si>
  <si>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</si>
  <si>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</si>
  <si>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</si>
  <si>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</si>
  <si>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</si>
  <si>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</si>
  <si>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</si>
  <si>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</si>
  <si>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</si>
  <si>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</si>
  <si>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</si>
  <si>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</si>
  <si>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</si>
  <si>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</si>
  <si>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</si>
  <si>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</si>
  <si>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</si>
  <si>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</si>
  <si>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</si>
  <si>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</si>
  <si>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</si>
  <si>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</si>
  <si>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</si>
  <si>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</si>
  <si>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</si>
  <si>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</si>
  <si>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</si>
  <si>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</si>
  <si>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</si>
  <si>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</si>
  <si>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</si>
  <si>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</si>
  <si>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</si>
  <si>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</si>
  <si>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</si>
  <si>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</si>
  <si>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</si>
  <si>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</si>
  <si>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</si>
  <si>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</si>
  <si>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</si>
  <si>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</si>
  <si>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</si>
  <si>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</si>
  <si>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</si>
  <si>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</si>
  <si>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</si>
  <si>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</si>
  <si>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</si>
  <si>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</si>
  <si>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</si>
  <si>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</si>
  <si>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</si>
  <si>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</si>
  <si>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</si>
  <si>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</si>
  <si>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</si>
  <si>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</si>
  <si>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</si>
  <si>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</si>
  <si>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</si>
  <si>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</si>
  <si>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</si>
  <si>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</si>
  <si>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</si>
  <si>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</si>
  <si>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</si>
  <si>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</si>
  <si>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</si>
  <si>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</si>
  <si>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</si>
  <si>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</si>
  <si>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</si>
  <si>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</si>
  <si>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</si>
  <si>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</si>
  <si>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</si>
  <si>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</si>
  <si>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</si>
  <si>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</si>
  <si>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</si>
  <si>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</si>
  <si>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</si>
  <si>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</si>
  <si>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</si>
  <si>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</si>
  <si>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</si>
  <si>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</si>
  <si>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</si>
  <si>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</si>
  <si>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</si>
  <si>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</si>
  <si>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</si>
  <si>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</si>
  <si>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</si>
  <si>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</si>
  <si>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</si>
  <si>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</si>
  <si>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</si>
  <si>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</si>
  <si>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</si>
  <si>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</si>
  <si>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</si>
  <si>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</si>
  <si>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</si>
  <si>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</si>
  <si>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</si>
  <si>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</si>
  <si>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</si>
  <si>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</si>
  <si>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</si>
  <si>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</si>
  <si>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</si>
  <si>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</si>
  <si>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</si>
  <si>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</si>
  <si>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</si>
  <si>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</si>
  <si>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</si>
  <si>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</si>
  <si>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</si>
  <si>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</si>
  <si>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</si>
  <si>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</si>
  <si>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</si>
  <si>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</si>
  <si>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</si>
  <si>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</si>
  <si>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</si>
  <si>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</si>
  <si>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</si>
  <si>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</si>
  <si>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</si>
  <si>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</si>
  <si>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</si>
  <si>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</si>
  <si>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</si>
  <si>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</si>
  <si>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</si>
  <si>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</si>
  <si>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</si>
  <si>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</si>
  <si>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</si>
  <si>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</si>
  <si>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</si>
  <si>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</si>
  <si>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</si>
  <si>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</si>
  <si>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</si>
  <si>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</si>
  <si>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</si>
  <si>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</si>
  <si>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</si>
  <si>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</si>
  <si>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</si>
  <si>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</si>
  <si>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</si>
  <si>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</si>
  <si>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</si>
  <si>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</si>
  <si>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</si>
  <si>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</si>
  <si>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</si>
  <si>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</si>
  <si>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</si>
  <si>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</si>
  <si>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</si>
  <si>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</si>
  <si>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</si>
  <si>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</si>
  <si>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</si>
  <si>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</si>
  <si>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</si>
  <si>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</si>
  <si>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</si>
  <si>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</si>
  <si>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</si>
  <si>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</si>
  <si>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</si>
  <si>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</si>
  <si>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</si>
  <si>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</si>
  <si>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</si>
  <si>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</si>
  <si>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</si>
  <si>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</si>
  <si>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</si>
  <si>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</si>
  <si>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</si>
  <si>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</si>
  <si>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</si>
  <si>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</si>
  <si>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</si>
  <si>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</si>
  <si>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</si>
  <si>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</si>
  <si>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</si>
  <si>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</si>
  <si>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</si>
  <si>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</si>
  <si>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</si>
  <si>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</si>
  <si>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</si>
  <si>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</si>
  <si>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</si>
  <si>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</si>
  <si>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</si>
  <si>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</si>
  <si>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</si>
  <si>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</si>
  <si>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</si>
  <si>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</si>
  <si>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</si>
  <si>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</si>
  <si>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</si>
  <si>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</si>
  <si>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</si>
  <si>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</si>
  <si>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</si>
  <si>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</si>
  <si>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</si>
  <si>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</si>
  <si>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</si>
  <si>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</si>
  <si>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</si>
  <si>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</si>
  <si>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</si>
  <si>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</si>
  <si>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</si>
  <si>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</si>
  <si>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</si>
  <si>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</si>
  <si>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</si>
  <si>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</si>
  <si>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</si>
  <si>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</si>
  <si>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</si>
  <si>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</si>
  <si>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</si>
  <si>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</si>
  <si>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</si>
  <si>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</si>
  <si>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</si>
  <si>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</si>
  <si>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</si>
  <si>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</si>
  <si>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</si>
  <si>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</si>
  <si>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</si>
  <si>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</si>
  <si>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</si>
  <si>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</si>
  <si>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</si>
  <si>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</si>
  <si>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</si>
  <si>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</si>
  <si>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</si>
  <si>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</si>
  <si>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</si>
  <si>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</si>
  <si>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</si>
  <si>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</si>
  <si>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</si>
  <si>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</si>
  <si>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</si>
  <si>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</si>
  <si>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</si>
  <si>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</si>
  <si>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</si>
  <si>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</si>
  <si>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</si>
  <si>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</si>
  <si>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</si>
  <si>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</si>
  <si>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</si>
  <si>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</si>
  <si>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</si>
  <si>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</si>
  <si>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</si>
  <si>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</si>
  <si>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</si>
  <si>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</si>
  <si>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</si>
  <si>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</si>
  <si>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</si>
  <si>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</si>
  <si>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</si>
  <si>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</si>
  <si>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</si>
  <si>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</si>
  <si>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</si>
  <si>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</si>
  <si>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</si>
  <si>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</si>
  <si>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</si>
  <si>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</si>
  <si>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</si>
  <si>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</si>
  <si>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</si>
  <si>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</si>
  <si>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</si>
  <si>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</si>
  <si>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</si>
  <si>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</si>
  <si>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</si>
  <si>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</si>
  <si>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</si>
  <si>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</si>
  <si>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</si>
  <si>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</si>
  <si>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</si>
  <si>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</si>
  <si>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</si>
  <si>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</si>
  <si>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</si>
  <si>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</si>
  <si>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</si>
  <si>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</si>
  <si>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</si>
  <si>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</si>
  <si>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</si>
  <si>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</si>
  <si>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</si>
  <si>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</si>
  <si>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</si>
  <si>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</si>
  <si>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</si>
  <si>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</si>
  <si>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</si>
  <si>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</si>
  <si>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</si>
  <si>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</si>
  <si>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</si>
  <si>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</si>
  <si>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</si>
  <si>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</si>
  <si>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</si>
  <si>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</si>
  <si>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</si>
  <si>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</si>
  <si>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</si>
  <si>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</si>
  <si>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</si>
  <si>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</si>
  <si>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</si>
  <si>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</si>
  <si>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</si>
  <si>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</si>
  <si>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</si>
  <si>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</si>
  <si>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</si>
  <si>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</si>
  <si>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</si>
  <si>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</si>
  <si>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</si>
  <si>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</si>
  <si>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</si>
  <si>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</si>
  <si>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</si>
  <si>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</si>
  <si>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</si>
  <si>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</si>
  <si>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</si>
  <si>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</si>
  <si>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</si>
  <si>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</si>
  <si>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</si>
  <si>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</si>
  <si>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</si>
  <si>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</si>
  <si>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</si>
  <si>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</si>
  <si>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</si>
  <si>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</si>
  <si>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</si>
  <si>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</si>
  <si>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</si>
  <si>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</si>
  <si>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</si>
  <si>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</si>
  <si>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</si>
  <si>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</si>
  <si>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</si>
  <si>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</si>
  <si>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</si>
  <si>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</si>
  <si>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</si>
  <si>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</si>
  <si>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</si>
  <si>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</si>
  <si>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</si>
  <si>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</si>
  <si>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</si>
  <si>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</si>
  <si>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</si>
  <si>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</si>
  <si>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</si>
  <si>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</si>
  <si>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</si>
  <si>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</si>
  <si>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</si>
  <si>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</si>
  <si>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</si>
  <si>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</si>
  <si>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</si>
  <si>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</si>
  <si>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</si>
  <si>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</si>
  <si>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</si>
  <si>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</si>
  <si>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</si>
  <si>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</si>
  <si>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</si>
  <si>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</si>
  <si>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</si>
  <si>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</si>
  <si>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</si>
  <si>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</si>
  <si>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</si>
  <si>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</si>
  <si>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</si>
  <si>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</si>
  <si>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</si>
  <si>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</si>
  <si>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</si>
  <si>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</si>
  <si>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</si>
  <si>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</si>
  <si>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</si>
  <si>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</si>
  <si>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</si>
  <si>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</si>
  <si>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</si>
  <si>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</si>
  <si>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</si>
  <si>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</si>
  <si>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</si>
  <si>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</si>
  <si>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</si>
  <si>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</si>
  <si>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</si>
  <si>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</si>
  <si>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</si>
  <si>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</si>
  <si>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</si>
  <si>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</si>
  <si>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</si>
  <si>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</si>
  <si>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</si>
  <si>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</si>
  <si>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</si>
  <si>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</si>
  <si>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</si>
  <si>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</si>
  <si>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</si>
  <si>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</si>
  <si>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</si>
  <si>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</si>
  <si>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</si>
  <si>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</si>
  <si>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</si>
  <si>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</si>
  <si>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</si>
  <si>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</si>
  <si>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</si>
  <si>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</si>
  <si>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</si>
  <si>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</si>
  <si>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</si>
  <si>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</si>
  <si>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</si>
  <si>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</si>
  <si>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NeoTblLijst!$M$3:$Y$19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</si>
  <si>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</si>
  <si>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</si>
  <si>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</si>
  <si>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</si>
  <si>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</si>
  <si>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</si>
  <si>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</si>
  <si>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</si>
  <si>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</si>
  <si>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</si>
  <si>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</si>
  <si>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</si>
  <si>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</si>
  <si>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</si>
  <si>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</si>
  <si>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</si>
  <si>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</si>
  <si>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</si>
  <si>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</si>
  <si>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</si>
  <si>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</si>
  <si>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</si>
  <si>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</si>
  <si>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</si>
  <si>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</si>
  <si>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</si>
  <si>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</si>
  <si>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</si>
  <si>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</si>
  <si>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</si>
  <si>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</si>
  <si>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</si>
  <si>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</si>
  <si>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</si>
  <si>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</si>
  <si>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</si>
  <si>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</si>
  <si>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</si>
  <si>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</si>
  <si>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</si>
  <si>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PedTblIV!$F$2:$F$5</t>
  </si>
  <si>
    <t>PedTblIV!$E$2:$E$5</t>
  </si>
  <si>
    <t>PedBerTPN!$K$27:$K$40</t>
  </si>
  <si>
    <t>PedBerTPN!$A$27:$I$28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</si>
  <si>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</si>
  <si>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</si>
  <si>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</si>
  <si>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</si>
  <si>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</si>
  <si>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</si>
  <si>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</si>
  <si>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</si>
  <si>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</si>
  <si>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</si>
  <si>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</si>
  <si>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</si>
  <si>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</si>
  <si>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</si>
  <si>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</si>
  <si>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</si>
  <si>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</si>
  <si>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</si>
  <si>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</si>
  <si>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</si>
  <si>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</si>
  <si>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</si>
  <si>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</si>
  <si>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</si>
  <si>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</si>
  <si>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</si>
  <si>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</si>
  <si>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</si>
  <si>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</si>
  <si>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</si>
  <si>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</si>
  <si>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</si>
  <si>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</si>
  <si>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</si>
  <si>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</si>
  <si>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</si>
  <si>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</si>
  <si>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</si>
  <si>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</si>
  <si>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</si>
  <si>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</si>
  <si>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</si>
  <si>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</si>
  <si>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</si>
  <si>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</si>
  <si>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</si>
  <si>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</si>
  <si>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</si>
  <si>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</si>
  <si>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</si>
  <si>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</si>
  <si>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</si>
  <si>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</si>
  <si>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</si>
  <si>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</si>
  <si>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</si>
  <si>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</si>
  <si>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</si>
  <si>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</si>
  <si>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</si>
  <si>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</si>
  <si>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</si>
  <si>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</si>
  <si>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</si>
  <si>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</si>
  <si>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</si>
  <si>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</si>
  <si>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</si>
  <si>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</si>
  <si>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</si>
  <si>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</si>
  <si>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</si>
  <si>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</si>
  <si>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</si>
  <si>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</si>
  <si>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</si>
  <si>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</si>
  <si>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</si>
  <si>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</si>
  <si>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</si>
  <si>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</si>
  <si>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</si>
  <si>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</si>
  <si>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</si>
  <si>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</si>
  <si>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</si>
  <si>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</si>
  <si>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</si>
  <si>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</si>
  <si>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</si>
  <si>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</si>
  <si>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</si>
  <si>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</si>
  <si>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</si>
  <si>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</si>
  <si>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</si>
  <si>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</si>
  <si>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</si>
  <si>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</si>
  <si>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</si>
  <si>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</si>
  <si>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</si>
  <si>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</si>
  <si>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</si>
  <si>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</si>
  <si>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</si>
  <si>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</si>
  <si>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</si>
  <si>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</si>
  <si>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</si>
  <si>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</si>
  <si>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</si>
  <si>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</si>
  <si>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</si>
  <si>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</si>
  <si>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</si>
  <si>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</si>
  <si>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</si>
  <si>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</si>
  <si>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</si>
  <si>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</si>
  <si>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</si>
  <si>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</si>
  <si>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</si>
  <si>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</si>
  <si>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</si>
  <si>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</si>
  <si>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</si>
  <si>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</si>
  <si>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</si>
  <si>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</si>
  <si>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</si>
  <si>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</si>
  <si>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</si>
  <si>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</si>
  <si>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</si>
  <si>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</si>
  <si>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</si>
  <si>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</si>
  <si>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</si>
  <si>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</si>
  <si>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</si>
  <si>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</si>
  <si>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</si>
  <si>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</si>
  <si>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</si>
  <si>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</si>
  <si>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</si>
  <si>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</si>
  <si>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</si>
  <si>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</si>
  <si>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</si>
  <si>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</si>
  <si>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</si>
  <si>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</si>
  <si>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</si>
  <si>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</si>
  <si>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</si>
  <si>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</si>
  <si>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</si>
  <si>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</si>
  <si>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</si>
  <si>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</si>
  <si>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</si>
  <si>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</si>
  <si>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</si>
  <si>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</si>
  <si>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</si>
  <si>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</si>
  <si>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</si>
  <si>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</si>
  <si>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</si>
  <si>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</si>
  <si>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</si>
  <si>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</si>
  <si>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</si>
  <si>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</si>
  <si>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</si>
  <si>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</si>
  <si>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</si>
  <si>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</si>
  <si>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</si>
  <si>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</si>
  <si>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</si>
  <si>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</si>
  <si>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</si>
  <si>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</si>
  <si>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</si>
  <si>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</si>
  <si>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</si>
  <si>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</si>
  <si>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</si>
  <si>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</si>
  <si>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</si>
  <si>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</si>
  <si>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</si>
  <si>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</si>
  <si>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</si>
  <si>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</si>
  <si>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</si>
  <si>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</si>
  <si>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</si>
  <si>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</si>
  <si>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</si>
  <si>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</si>
  <si>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</si>
  <si>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</si>
  <si>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</si>
  <si>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</si>
  <si>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</si>
  <si>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</si>
  <si>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</si>
  <si>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</si>
  <si>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</si>
  <si>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</si>
  <si>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</si>
  <si>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</si>
  <si>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</si>
  <si>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</si>
  <si>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</si>
  <si>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</si>
  <si>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</si>
  <si>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</si>
  <si>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</si>
  <si>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</si>
  <si>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</si>
  <si>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</si>
  <si>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</si>
  <si>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</si>
  <si>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</si>
  <si>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</si>
  <si>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</si>
  <si>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</si>
  <si>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</si>
  <si>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</si>
  <si>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</si>
  <si>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</si>
  <si>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</si>
  <si>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</si>
  <si>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</si>
  <si>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</si>
  <si>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</si>
  <si>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</si>
  <si>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</si>
  <si>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</si>
  <si>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</si>
  <si>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</si>
  <si>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</si>
  <si>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</si>
  <si>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</si>
  <si>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</si>
  <si>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</si>
  <si>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</si>
  <si>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Var_AfspraakDatum</t>
  </si>
  <si>
    <t>IsData</t>
  </si>
  <si>
    <t>IsNeo</t>
  </si>
  <si>
    <t>IsPed</t>
  </si>
  <si>
    <t>InPatData</t>
  </si>
  <si>
    <t>F:= TODAY()</t>
  </si>
  <si>
    <t>F:=SUM(P2:P31)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</si>
  <si>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</si>
  <si>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</si>
  <si>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</si>
  <si>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</si>
  <si>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</si>
  <si>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</si>
  <si>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</si>
  <si>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</si>
  <si>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</si>
  <si>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</si>
  <si>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</si>
  <si>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</si>
  <si>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</si>
  <si>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</si>
  <si>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</si>
  <si>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</si>
  <si>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</si>
  <si>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</si>
  <si>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</si>
  <si>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</si>
  <si>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</si>
  <si>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</si>
  <si>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</si>
  <si>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</si>
  <si>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</si>
  <si>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</si>
  <si>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</si>
  <si>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</si>
  <si>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</si>
  <si>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</si>
  <si>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</si>
  <si>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</si>
  <si>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</si>
  <si>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</si>
  <si>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</si>
  <si>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</si>
  <si>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</si>
  <si>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</si>
  <si>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</si>
  <si>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</si>
  <si>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</si>
  <si>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</si>
  <si>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</si>
  <si>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</si>
  <si>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</si>
  <si>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</si>
  <si>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</si>
  <si>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</si>
  <si>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</si>
  <si>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</si>
  <si>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</si>
  <si>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</si>
  <si>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</si>
  <si>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</si>
  <si>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</si>
  <si>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</si>
  <si>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</si>
  <si>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</si>
  <si>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</si>
  <si>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</si>
  <si>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</si>
  <si>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</si>
  <si>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</si>
  <si>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</si>
  <si>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</si>
  <si>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</si>
  <si>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</si>
  <si>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</si>
  <si>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</si>
  <si>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</si>
  <si>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</si>
  <si>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</si>
  <si>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</si>
  <si>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</si>
  <si>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</si>
  <si>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</si>
  <si>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</si>
  <si>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</si>
  <si>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</si>
  <si>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</si>
  <si>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</si>
  <si>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</si>
  <si>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</si>
  <si>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</si>
  <si>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</si>
  <si>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</si>
  <si>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</si>
  <si>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</si>
  <si>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</si>
  <si>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</si>
  <si>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</si>
  <si>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</si>
  <si>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</si>
  <si>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</si>
  <si>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</si>
  <si>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</si>
  <si>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</si>
  <si>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</si>
  <si>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</si>
  <si>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</si>
  <si>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</si>
  <si>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</si>
  <si>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</si>
  <si>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</si>
  <si>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</si>
  <si>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</si>
  <si>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</si>
  <si>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</si>
  <si>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</si>
  <si>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</si>
  <si>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</si>
  <si>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</si>
  <si>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</si>
  <si>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</si>
  <si>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</si>
  <si>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</si>
  <si>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</si>
  <si>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</si>
  <si>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</si>
  <si>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</si>
  <si>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</si>
  <si>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</si>
  <si>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</si>
  <si>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</si>
  <si>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</si>
  <si>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</si>
  <si>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</si>
  <si>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</si>
  <si>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</si>
  <si>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</si>
  <si>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</si>
  <si>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</si>
  <si>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</si>
  <si>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</si>
  <si>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</si>
  <si>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</si>
  <si>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</si>
  <si>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</si>
  <si>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</si>
  <si>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</si>
  <si>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</si>
  <si>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</si>
  <si>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</si>
  <si>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</si>
  <si>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</si>
  <si>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</si>
  <si>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</si>
  <si>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</si>
  <si>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</si>
  <si>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</si>
  <si>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</si>
  <si>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</si>
  <si>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</si>
  <si>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</si>
  <si>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</si>
  <si>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</si>
  <si>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</si>
  <si>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</si>
  <si>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</si>
  <si>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</si>
  <si>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</si>
  <si>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</si>
  <si>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</si>
  <si>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</si>
  <si>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</si>
  <si>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</si>
  <si>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</si>
  <si>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</si>
  <si>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</si>
  <si>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</si>
  <si>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</si>
  <si>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</si>
  <si>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</si>
  <si>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</si>
  <si>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</si>
  <si>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</si>
  <si>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</si>
  <si>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</si>
  <si>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</si>
  <si>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</si>
  <si>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</si>
  <si>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</si>
  <si>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</si>
  <si>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</si>
  <si>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</si>
  <si>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</si>
  <si>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</si>
  <si>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</si>
  <si>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</si>
  <si>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</si>
  <si>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</si>
  <si>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</si>
  <si>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</si>
  <si>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</si>
  <si>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</si>
  <si>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</si>
  <si>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</si>
  <si>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</si>
  <si>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</si>
  <si>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</si>
  <si>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</si>
  <si>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</si>
  <si>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</si>
  <si>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</si>
  <si>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</si>
  <si>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</si>
  <si>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</si>
  <si>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</si>
  <si>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</si>
  <si>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</si>
  <si>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</si>
  <si>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</si>
  <si>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</si>
  <si>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</si>
  <si>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</si>
  <si>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</si>
  <si>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</si>
  <si>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</si>
  <si>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</si>
  <si>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</si>
  <si>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</si>
  <si>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</si>
  <si>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</si>
  <si>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</si>
  <si>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</si>
  <si>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</si>
  <si>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</si>
  <si>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</si>
  <si>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</si>
  <si>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</si>
  <si>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</si>
  <si>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</si>
  <si>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</si>
  <si>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</si>
  <si>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</si>
  <si>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</si>
  <si>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</si>
  <si>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</si>
  <si>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</si>
  <si>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</si>
  <si>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</si>
  <si>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</si>
  <si>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</si>
  <si>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</si>
  <si>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</si>
  <si>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</si>
  <si>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</si>
  <si>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</si>
  <si>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</si>
  <si>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</si>
  <si>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</si>
  <si>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</si>
  <si>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</si>
  <si>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</si>
  <si>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</si>
  <si>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</si>
  <si>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</si>
  <si>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</si>
  <si>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</si>
  <si>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</si>
  <si>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</si>
  <si>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</si>
  <si>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</si>
  <si>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</si>
  <si>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</si>
  <si>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</si>
  <si>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</si>
  <si>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</si>
  <si>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</si>
  <si>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</si>
  <si>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</si>
  <si>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</si>
  <si>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</si>
  <si>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</si>
  <si>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</si>
  <si>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</si>
  <si>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</si>
  <si>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</si>
  <si>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</si>
  <si>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</si>
  <si>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</si>
  <si>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</si>
  <si>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</si>
  <si>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</si>
  <si>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</si>
  <si>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</si>
  <si>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</si>
  <si>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</si>
  <si>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</si>
  <si>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</si>
  <si>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</si>
  <si>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</si>
  <si>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</si>
  <si>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</si>
  <si>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</si>
  <si>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</si>
  <si>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</si>
  <si>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</si>
  <si>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</si>
  <si>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</si>
  <si>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</si>
  <si>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</si>
  <si>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</si>
  <si>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</si>
  <si>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</si>
  <si>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</si>
  <si>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</si>
  <si>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</si>
  <si>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</si>
  <si>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</si>
  <si>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</si>
  <si>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</si>
  <si>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</si>
  <si>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</si>
  <si>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</si>
  <si>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</si>
  <si>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</si>
  <si>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</si>
  <si>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</si>
  <si>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</si>
  <si>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</si>
  <si>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</si>
  <si>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</si>
  <si>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</si>
  <si>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</si>
  <si>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</si>
  <si>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</si>
  <si>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</si>
  <si>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</si>
  <si>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</si>
  <si>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</si>
  <si>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</si>
  <si>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</si>
  <si>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</si>
  <si>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</si>
  <si>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</si>
  <si>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</si>
  <si>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</si>
  <si>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</si>
  <si>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</si>
  <si>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</si>
  <si>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</si>
  <si>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</si>
  <si>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</si>
  <si>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</si>
  <si>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</si>
  <si>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</si>
  <si>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</si>
  <si>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</si>
  <si>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</si>
  <si>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</si>
  <si>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</si>
  <si>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</si>
  <si>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</si>
  <si>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</si>
  <si>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</si>
  <si>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</si>
  <si>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</si>
  <si>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</si>
  <si>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</si>
  <si>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</si>
  <si>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</si>
  <si>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</si>
  <si>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</si>
  <si>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</si>
  <si>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</si>
  <si>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</si>
  <si>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</si>
  <si>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</si>
  <si>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</si>
  <si>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</si>
  <si>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</si>
  <si>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</si>
  <si>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</si>
  <si>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</si>
  <si>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</si>
  <si>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</si>
  <si>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</si>
  <si>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</si>
  <si>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</si>
  <si>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</si>
  <si>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</si>
  <si>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</si>
  <si>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</si>
  <si>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</si>
  <si>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</si>
  <si>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</si>
  <si>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</si>
  <si>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</si>
  <si>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</si>
  <si>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</si>
  <si>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</si>
  <si>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</si>
  <si>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</si>
  <si>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</si>
  <si>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</si>
  <si>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</si>
  <si>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</si>
  <si>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</si>
  <si>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</si>
  <si>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</si>
  <si>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</si>
  <si>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</si>
  <si>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</si>
  <si>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</si>
  <si>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</si>
  <si>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</si>
  <si>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</si>
  <si>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</si>
  <si>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</si>
  <si>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</si>
  <si>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</si>
  <si>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</si>
  <si>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</si>
  <si>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</si>
  <si>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</si>
  <si>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</si>
  <si>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</si>
  <si>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</si>
  <si>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</si>
  <si>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</si>
  <si>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</si>
  <si>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</si>
  <si>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</si>
  <si>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</si>
  <si>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</si>
  <si>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</si>
  <si>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</si>
  <si>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</si>
  <si>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</si>
  <si>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</si>
  <si>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</si>
  <si>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</si>
  <si>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</si>
  <si>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</si>
  <si>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</si>
  <si>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</si>
  <si>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</si>
  <si>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</si>
  <si>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</si>
  <si>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</si>
  <si>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</si>
  <si>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</si>
  <si>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</si>
  <si>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</si>
  <si>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</si>
  <si>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</si>
  <si>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</si>
  <si>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</si>
  <si>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</si>
  <si>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</si>
  <si>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</si>
  <si>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</si>
  <si>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</si>
  <si>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</si>
  <si>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</si>
  <si>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</si>
  <si>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</si>
  <si>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</si>
  <si>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</si>
  <si>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</si>
  <si>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</si>
  <si>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</si>
  <si>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</si>
  <si>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</si>
  <si>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</si>
  <si>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</si>
  <si>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</si>
  <si>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</si>
  <si>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</si>
  <si>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</si>
  <si>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</si>
  <si>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</si>
  <si>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</si>
  <si>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</si>
  <si>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</si>
  <si>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</si>
  <si>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</si>
  <si>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</si>
  <si>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</si>
  <si>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</si>
  <si>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</si>
  <si>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</si>
  <si>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</si>
  <si>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</si>
  <si>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</si>
  <si>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</si>
  <si>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</si>
  <si>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</si>
  <si>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</si>
  <si>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</si>
  <si>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</si>
  <si>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</si>
  <si>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</si>
  <si>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</si>
  <si>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</si>
  <si>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</si>
  <si>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</si>
  <si>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</si>
  <si>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</si>
  <si>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</si>
  <si>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</si>
  <si>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</si>
  <si>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</si>
  <si>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</si>
  <si>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</si>
  <si>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</si>
  <si>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</si>
  <si>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</si>
  <si>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</si>
  <si>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</si>
  <si>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</si>
  <si>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</si>
  <si>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</si>
  <si>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</si>
  <si>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</si>
  <si>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</si>
  <si>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</si>
  <si>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</si>
  <si>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</si>
  <si>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</si>
  <si>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</si>
  <si>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</si>
  <si>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</si>
  <si>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</si>
  <si>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</si>
  <si>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</si>
  <si>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</si>
  <si>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</si>
  <si>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</si>
  <si>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</si>
  <si>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</si>
  <si>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</si>
  <si>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</si>
  <si>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</si>
  <si>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</si>
  <si>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</si>
  <si>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</si>
  <si>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</si>
  <si>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</si>
  <si>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</si>
  <si>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</si>
  <si>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</si>
  <si>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</si>
  <si>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</si>
  <si>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</si>
  <si>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</si>
  <si>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</si>
  <si>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</si>
  <si>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</si>
  <si>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</si>
  <si>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</si>
  <si>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</si>
  <si>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</si>
  <si>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</si>
  <si>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</si>
  <si>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</si>
  <si>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</si>
  <si>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</si>
  <si>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</si>
  <si>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</si>
  <si>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</si>
  <si>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</si>
  <si>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</si>
  <si>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</si>
  <si>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</si>
  <si>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</si>
  <si>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</si>
  <si>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</si>
  <si>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</si>
  <si>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</si>
  <si>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</si>
  <si>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</si>
  <si>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</si>
  <si>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</si>
  <si>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</si>
  <si>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</si>
  <si>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</si>
  <si>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</si>
  <si>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</si>
  <si>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</si>
  <si>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</si>
  <si>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</si>
  <si>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</si>
  <si>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</si>
  <si>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</si>
  <si>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</si>
  <si>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</si>
  <si>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</si>
  <si>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</si>
  <si>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</si>
  <si>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</si>
  <si>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</si>
  <si>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</si>
  <si>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</si>
  <si>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</si>
  <si>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</si>
  <si>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</si>
  <si>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</si>
  <si>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</si>
  <si>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</si>
  <si>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</si>
  <si>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</si>
  <si>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</si>
  <si>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</si>
  <si>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</si>
  <si>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</si>
  <si>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</si>
  <si>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</si>
  <si>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</si>
  <si>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</si>
  <si>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</si>
  <si>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</si>
  <si>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</si>
  <si>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</si>
  <si>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</si>
  <si>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</si>
  <si>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</si>
  <si>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</si>
  <si>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</si>
  <si>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</si>
  <si>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</si>
  <si>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</si>
  <si>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</si>
  <si>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</si>
  <si>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</si>
  <si>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</si>
  <si>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</si>
  <si>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</si>
  <si>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</si>
  <si>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</si>
  <si>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</si>
  <si>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</si>
  <si>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</si>
  <si>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</si>
  <si>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</si>
  <si>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</si>
  <si>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</si>
  <si>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</si>
  <si>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</si>
  <si>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</si>
  <si>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</si>
  <si>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</si>
  <si>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</si>
  <si>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</si>
  <si>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</si>
  <si>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</si>
  <si>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</si>
  <si>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</si>
  <si>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</si>
  <si>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</si>
  <si>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</si>
  <si>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</si>
  <si>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</si>
  <si>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</si>
  <si>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</si>
  <si>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</si>
  <si>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</si>
  <si>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</si>
  <si>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</si>
  <si>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</si>
  <si>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</si>
  <si>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</si>
  <si>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</si>
  <si>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</si>
  <si>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</si>
  <si>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</si>
  <si>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</si>
  <si>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</si>
  <si>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</si>
  <si>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</si>
  <si>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</si>
  <si>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</si>
  <si>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</si>
  <si>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</si>
  <si>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</si>
  <si>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</si>
  <si>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</si>
  <si>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</si>
  <si>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</si>
  <si>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</si>
  <si>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</si>
  <si>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</si>
  <si>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</si>
  <si>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</si>
  <si>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</si>
  <si>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</si>
  <si>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</si>
  <si>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</si>
  <si>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</si>
  <si>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</si>
  <si>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</si>
  <si>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</si>
  <si>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</si>
  <si>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</si>
  <si>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</si>
  <si>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</si>
  <si>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</si>
  <si>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</si>
  <si>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</si>
  <si>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</si>
  <si>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</si>
  <si>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</si>
  <si>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</si>
  <si>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</si>
  <si>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</si>
  <si>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</si>
  <si>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</si>
  <si>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</si>
  <si>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</si>
  <si>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</si>
  <si>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</si>
  <si>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</si>
  <si>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</si>
  <si>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</si>
  <si>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</si>
  <si>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</si>
  <si>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</si>
  <si>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</si>
  <si>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</si>
  <si>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</si>
  <si>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</si>
  <si>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</si>
  <si>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</si>
  <si>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</si>
  <si>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</si>
  <si>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</si>
  <si>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</si>
  <si>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</si>
  <si>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</si>
  <si>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</si>
  <si>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</si>
  <si>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</si>
  <si>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</si>
  <si>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</si>
  <si>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</si>
  <si>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</si>
  <si>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</si>
  <si>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</si>
  <si>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</si>
  <si>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</si>
  <si>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</si>
  <si>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</si>
  <si>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</si>
  <si>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</si>
  <si>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</si>
  <si>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</si>
  <si>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</si>
  <si>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</si>
  <si>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</si>
  <si>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</si>
  <si>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</si>
  <si>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</si>
  <si>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</si>
  <si>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</si>
  <si>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</si>
  <si>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</si>
  <si>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</si>
  <si>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</si>
  <si>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</si>
  <si>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</si>
  <si>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</si>
  <si>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</si>
  <si>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</si>
  <si>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</si>
  <si>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</si>
  <si>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</si>
  <si>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</si>
  <si>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</si>
  <si>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</si>
  <si>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</si>
  <si>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</si>
  <si>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</si>
  <si>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</si>
  <si>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</si>
  <si>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</si>
  <si>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</si>
  <si>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</si>
  <si>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</si>
  <si>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</si>
  <si>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</si>
  <si>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</si>
  <si>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</si>
  <si>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</si>
  <si>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</si>
  <si>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</si>
  <si>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</si>
  <si>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</si>
  <si>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</si>
  <si>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</si>
  <si>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</si>
  <si>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</si>
  <si>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</si>
  <si>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</si>
  <si>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</si>
  <si>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</si>
  <si>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</si>
  <si>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</si>
  <si>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</si>
  <si>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</si>
  <si>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</si>
  <si>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</si>
  <si>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</si>
  <si>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</si>
  <si>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</si>
  <si>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</si>
  <si>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</si>
  <si>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</si>
  <si>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</si>
  <si>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</si>
  <si>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</si>
  <si>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</si>
  <si>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</si>
  <si>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</si>
  <si>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</si>
  <si>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</si>
  <si>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</si>
  <si>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</si>
  <si>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</si>
  <si>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</si>
  <si>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</si>
  <si>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</si>
  <si>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</si>
  <si>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</si>
  <si>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</si>
  <si>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</si>
  <si>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</si>
  <si>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</si>
  <si>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</si>
  <si>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</si>
  <si>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</si>
  <si>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</si>
  <si>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</si>
  <si>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</si>
  <si>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</si>
  <si>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</si>
  <si>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</si>
  <si>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</si>
  <si>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</si>
  <si>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</si>
  <si>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</si>
  <si>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</si>
  <si>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</si>
  <si>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</si>
  <si>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</si>
  <si>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</si>
  <si>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</si>
  <si>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</si>
  <si>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</si>
  <si>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</si>
  <si>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</si>
  <si>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</si>
  <si>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</si>
  <si>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</si>
  <si>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</si>
  <si>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</si>
  <si>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</si>
  <si>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</si>
  <si>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</si>
  <si>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</si>
  <si>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</si>
  <si>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</si>
  <si>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</si>
  <si>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</si>
  <si>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</si>
  <si>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</si>
  <si>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</si>
  <si>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</si>
  <si>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</si>
  <si>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</si>
  <si>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</si>
  <si>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</si>
  <si>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</si>
  <si>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</si>
  <si>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</si>
  <si>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</si>
  <si>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</si>
  <si>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</si>
  <si>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</si>
  <si>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</si>
  <si>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</si>
  <si>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</si>
  <si>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</si>
  <si>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</si>
  <si>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</si>
  <si>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</si>
  <si>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</si>
  <si>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</si>
  <si>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</si>
  <si>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</si>
  <si>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</si>
  <si>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</si>
  <si>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</si>
  <si>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</si>
  <si>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</si>
  <si>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</si>
  <si>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</si>
  <si>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</si>
  <si>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</si>
  <si>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</si>
  <si>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</si>
  <si>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</si>
  <si>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</si>
  <si>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</si>
  <si>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</si>
  <si>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</si>
  <si>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</si>
  <si>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</si>
  <si>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</si>
  <si>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</si>
  <si>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</si>
  <si>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</si>
  <si>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</si>
  <si>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</si>
  <si>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</si>
  <si>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</si>
  <si>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</si>
  <si>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</si>
  <si>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</si>
  <si>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</si>
  <si>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</si>
  <si>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</si>
  <si>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</si>
  <si>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</si>
  <si>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</si>
  <si>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</si>
  <si>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</si>
  <si>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</si>
  <si>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</si>
  <si>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</si>
  <si>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</si>
  <si>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</si>
  <si>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</si>
  <si>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</si>
  <si>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</si>
  <si>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</si>
  <si>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</si>
  <si>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</si>
  <si>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</si>
  <si>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</si>
  <si>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</si>
  <si>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</si>
  <si>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</si>
  <si>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</si>
  <si>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</si>
  <si>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</si>
  <si>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</si>
  <si>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</si>
  <si>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</si>
  <si>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</si>
  <si>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</si>
  <si>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</si>
  <si>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</si>
  <si>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</si>
  <si>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</si>
  <si>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</si>
  <si>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</si>
  <si>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</si>
  <si>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</si>
  <si>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</si>
  <si>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</si>
  <si>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</si>
  <si>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</si>
  <si>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</si>
  <si>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</si>
  <si>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</si>
  <si>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</si>
  <si>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</si>
  <si>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</si>
  <si>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</si>
  <si>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</si>
  <si>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</si>
  <si>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</si>
  <si>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</si>
  <si>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</si>
  <si>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</si>
  <si>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</si>
  <si>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</si>
  <si>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</si>
  <si>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</si>
  <si>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</si>
  <si>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</si>
  <si>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</si>
  <si>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</si>
  <si>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</si>
  <si>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</si>
  <si>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</si>
  <si>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</si>
  <si>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</si>
  <si>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</si>
  <si>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</si>
  <si>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</si>
  <si>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</si>
  <si>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</si>
  <si>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</si>
  <si>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</si>
  <si>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</si>
  <si>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</si>
  <si>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</si>
  <si>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</si>
  <si>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</si>
  <si>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</si>
  <si>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</si>
  <si>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</si>
  <si>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</si>
  <si>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</si>
  <si>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</si>
  <si>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</si>
  <si>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</si>
  <si>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</si>
  <si>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</si>
  <si>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</si>
  <si>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</si>
  <si>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</si>
  <si>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</si>
  <si>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</si>
  <si>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</si>
  <si>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</si>
  <si>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</si>
  <si>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</si>
  <si>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</si>
  <si>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</si>
  <si>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</si>
  <si>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</si>
  <si>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</si>
  <si>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</si>
  <si>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</si>
  <si>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</si>
  <si>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</si>
  <si>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</si>
  <si>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</si>
  <si>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</si>
  <si>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</si>
  <si>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</si>
  <si>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</si>
  <si>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</si>
  <si>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</si>
  <si>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</si>
  <si>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</si>
  <si>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</si>
  <si>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</si>
  <si>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</si>
  <si>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</si>
  <si>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</si>
  <si>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</si>
  <si>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</si>
  <si>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</si>
  <si>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</si>
  <si>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</si>
  <si>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</si>
  <si>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</si>
  <si>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</si>
  <si>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</si>
  <si>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</si>
  <si>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</si>
  <si>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</si>
  <si>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</si>
  <si>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</si>
  <si>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</si>
  <si>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</si>
  <si>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</si>
  <si>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</si>
  <si>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</si>
  <si>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</si>
  <si>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</si>
  <si>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</si>
  <si>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</si>
  <si>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</si>
  <si>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</si>
  <si>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</si>
  <si>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</si>
  <si>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</si>
  <si>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</si>
  <si>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</si>
  <si>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</si>
  <si>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</si>
  <si>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</si>
  <si>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</si>
  <si>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</si>
  <si>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</si>
  <si>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</si>
  <si>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</si>
  <si>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</si>
  <si>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</si>
  <si>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</si>
  <si>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</si>
  <si>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</si>
  <si>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</si>
  <si>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</si>
  <si>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</si>
  <si>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</si>
  <si>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</si>
  <si>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</si>
  <si>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</si>
  <si>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</si>
  <si>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</si>
  <si>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</si>
  <si>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</si>
  <si>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</si>
  <si>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</si>
  <si>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</si>
  <si>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</si>
  <si>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</si>
  <si>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</si>
  <si>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</si>
  <si>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</si>
  <si>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</si>
  <si>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</si>
  <si>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</si>
  <si>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</si>
  <si>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</si>
  <si>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</si>
  <si>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</si>
  <si>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</si>
  <si>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</si>
  <si>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</si>
  <si>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</si>
  <si>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</si>
  <si>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</si>
  <si>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</si>
  <si>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</si>
  <si>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</si>
  <si>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</si>
  <si>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</si>
  <si>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</si>
  <si>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</si>
  <si>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</si>
  <si>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</si>
  <si>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</si>
  <si>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</si>
  <si>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</si>
  <si>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</si>
  <si>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</si>
  <si>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</si>
  <si>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</si>
  <si>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</si>
  <si>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</si>
  <si>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</si>
  <si>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</si>
  <si>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</si>
  <si>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</si>
  <si>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</si>
  <si>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</si>
  <si>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</si>
  <si>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</si>
  <si>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</si>
  <si>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</si>
  <si>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</si>
  <si>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</si>
  <si>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</si>
  <si>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</si>
  <si>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</si>
  <si>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</si>
  <si>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</si>
  <si>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</si>
  <si>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</si>
  <si>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</si>
  <si>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</si>
  <si>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</si>
  <si>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</si>
  <si>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</si>
  <si>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</si>
  <si>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</si>
  <si>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</si>
  <si>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</si>
  <si>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</si>
  <si>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</si>
  <si>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</si>
  <si>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</si>
  <si>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</si>
  <si>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</si>
  <si>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</si>
  <si>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</si>
  <si>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</si>
  <si>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</si>
  <si>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</si>
  <si>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</si>
  <si>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</si>
  <si>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</si>
  <si>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</si>
  <si>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</si>
  <si>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</si>
  <si>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</si>
  <si>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</si>
  <si>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</si>
  <si>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</si>
  <si>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</si>
  <si>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</si>
  <si>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</si>
  <si>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</si>
  <si>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</si>
  <si>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</si>
  <si>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</si>
  <si>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</si>
  <si>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</si>
  <si>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</si>
  <si>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</si>
  <si>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</si>
  <si>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</si>
  <si>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</si>
  <si>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</si>
  <si>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</si>
  <si>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</si>
  <si>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</si>
  <si>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</si>
  <si>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</si>
  <si>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</si>
  <si>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</si>
  <si>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</si>
  <si>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</si>
  <si>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</si>
  <si>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</si>
  <si>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</si>
  <si>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</si>
  <si>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</si>
  <si>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</si>
  <si>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</si>
  <si>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</si>
  <si>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</si>
  <si>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</si>
  <si>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</si>
  <si>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</si>
  <si>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</si>
  <si>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</si>
  <si>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</si>
  <si>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</si>
  <si>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</si>
  <si>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</si>
  <si>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</si>
  <si>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</si>
  <si>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</si>
  <si>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</si>
  <si>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</si>
  <si>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</si>
  <si>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</si>
  <si>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</si>
  <si>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</si>
  <si>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</si>
  <si>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</si>
  <si>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</si>
  <si>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</si>
  <si>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</si>
  <si>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</si>
  <si>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</si>
  <si>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</si>
  <si>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</si>
  <si>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</si>
  <si>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</si>
  <si>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</si>
  <si>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</si>
  <si>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</si>
  <si>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</si>
  <si>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</si>
  <si>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</si>
  <si>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</si>
  <si>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</si>
  <si>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</si>
  <si>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</si>
  <si>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</si>
  <si>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</si>
  <si>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</si>
  <si>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</si>
  <si>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</si>
  <si>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</si>
  <si>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</si>
  <si>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</si>
  <si>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</si>
  <si>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</si>
  <si>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</si>
  <si>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</si>
  <si>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</si>
  <si>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</si>
  <si>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</si>
  <si>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</si>
  <si>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</si>
  <si>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</si>
  <si>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</si>
  <si>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</si>
  <si>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</si>
  <si>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</si>
  <si>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</si>
  <si>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</si>
  <si>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</si>
  <si>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</si>
  <si>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</si>
  <si>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</si>
  <si>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_Pat_Dagen</t>
  </si>
  <si>
    <t>_Pat_Weken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</si>
  <si>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</si>
  <si>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</si>
  <si>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</si>
  <si>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</si>
  <si>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</si>
  <si>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</si>
  <si>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</si>
  <si>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</si>
  <si>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</si>
  <si>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</si>
  <si>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</si>
  <si>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</si>
  <si>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</si>
  <si>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</si>
  <si>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</si>
  <si>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</si>
  <si>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</si>
  <si>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</si>
  <si>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</si>
  <si>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</si>
  <si>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</si>
  <si>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</si>
  <si>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</si>
  <si>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</si>
  <si>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</si>
  <si>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</si>
  <si>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</si>
  <si>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</si>
  <si>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</si>
  <si>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</si>
  <si>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</si>
  <si>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</si>
  <si>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</si>
  <si>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</si>
  <si>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</si>
  <si>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</si>
  <si>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</si>
  <si>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</si>
  <si>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</si>
  <si>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</si>
  <si>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</si>
  <si>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</si>
  <si>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</si>
  <si>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</si>
  <si>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</si>
  <si>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</si>
  <si>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</si>
  <si>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</si>
  <si>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</si>
  <si>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</si>
  <si>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</si>
  <si>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</si>
  <si>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</si>
  <si>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</si>
  <si>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</si>
  <si>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</si>
  <si>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</si>
  <si>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</si>
  <si>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</si>
  <si>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</si>
  <si>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</si>
  <si>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</si>
  <si>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</si>
  <si>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</si>
  <si>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</si>
  <si>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</si>
  <si>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</si>
  <si>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</si>
  <si>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</si>
  <si>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</si>
  <si>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</si>
  <si>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</si>
  <si>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</si>
  <si>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</si>
  <si>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</si>
  <si>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</si>
  <si>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</si>
  <si>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</si>
  <si>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</si>
  <si>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</si>
  <si>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</si>
  <si>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</si>
  <si>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</si>
  <si>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</si>
  <si>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</si>
  <si>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</si>
  <si>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</si>
  <si>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</si>
  <si>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</si>
  <si>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</si>
  <si>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</si>
  <si>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</si>
  <si>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</si>
  <si>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</si>
  <si>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</si>
  <si>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</si>
  <si>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</si>
  <si>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</si>
  <si>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</si>
  <si>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</si>
  <si>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</si>
  <si>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</si>
  <si>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</si>
  <si>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</si>
  <si>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</si>
  <si>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</si>
  <si>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</si>
  <si>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</si>
  <si>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</si>
  <si>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</si>
  <si>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</si>
  <si>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</si>
  <si>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</si>
  <si>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</si>
  <si>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</si>
  <si>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</si>
  <si>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</si>
  <si>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</si>
  <si>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</si>
  <si>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</si>
  <si>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</si>
  <si>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</si>
  <si>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</si>
  <si>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</si>
  <si>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</si>
  <si>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</si>
  <si>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</si>
  <si>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</si>
  <si>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</si>
  <si>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</si>
  <si>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</si>
  <si>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</si>
  <si>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</si>
  <si>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</si>
  <si>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</si>
  <si>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</si>
  <si>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</si>
  <si>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</si>
  <si>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</si>
  <si>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</si>
  <si>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</si>
  <si>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</si>
  <si>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</si>
  <si>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</si>
  <si>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</si>
  <si>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</si>
  <si>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</si>
  <si>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</si>
  <si>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</si>
  <si>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</si>
  <si>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</si>
  <si>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</si>
  <si>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</si>
  <si>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</si>
  <si>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</si>
  <si>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</si>
  <si>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</si>
  <si>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</si>
  <si>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</si>
  <si>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</si>
  <si>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</si>
  <si>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</si>
  <si>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</si>
  <si>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</si>
  <si>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</si>
  <si>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</si>
  <si>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</si>
  <si>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</si>
  <si>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</si>
  <si>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</si>
  <si>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</si>
  <si>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</si>
  <si>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</si>
  <si>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</si>
  <si>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</si>
  <si>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</si>
  <si>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</si>
  <si>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</si>
  <si>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</si>
  <si>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</si>
  <si>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</si>
  <si>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</si>
  <si>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</si>
  <si>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</si>
  <si>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</si>
  <si>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</si>
  <si>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</si>
  <si>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</si>
  <si>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</si>
  <si>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</si>
  <si>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</si>
  <si>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</si>
  <si>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</si>
  <si>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</si>
  <si>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</si>
  <si>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</si>
  <si>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</si>
  <si>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</si>
  <si>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</si>
  <si>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</si>
  <si>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</si>
  <si>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</si>
  <si>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</si>
  <si>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</si>
  <si>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</si>
  <si>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</si>
  <si>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</si>
  <si>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</si>
  <si>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</si>
  <si>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</si>
  <si>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</si>
  <si>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</si>
  <si>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</si>
  <si>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</si>
  <si>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</si>
  <si>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</si>
  <si>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</si>
  <si>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</si>
  <si>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</si>
  <si>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</si>
  <si>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</si>
  <si>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</si>
  <si>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</si>
  <si>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</si>
  <si>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</si>
  <si>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</si>
  <si>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</si>
  <si>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</si>
  <si>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</si>
  <si>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</si>
  <si>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</si>
  <si>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</si>
  <si>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</si>
  <si>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</si>
  <si>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</si>
  <si>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</si>
  <si>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</si>
  <si>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</si>
  <si>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</si>
  <si>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</si>
  <si>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</si>
  <si>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</si>
  <si>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</si>
  <si>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</si>
  <si>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</si>
  <si>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</si>
  <si>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</si>
  <si>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</si>
  <si>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</si>
  <si>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</si>
  <si>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</si>
  <si>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</si>
  <si>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</si>
  <si>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</si>
  <si>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</si>
  <si>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</si>
  <si>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</si>
  <si>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</si>
  <si>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</si>
  <si>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</si>
  <si>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</si>
  <si>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</si>
  <si>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</si>
  <si>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</si>
  <si>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</si>
  <si>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</si>
  <si>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</si>
  <si>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</si>
  <si>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</si>
  <si>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</si>
  <si>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</si>
  <si>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</si>
  <si>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</si>
  <si>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</si>
  <si>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</si>
  <si>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</si>
  <si>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</si>
  <si>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</si>
  <si>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</si>
  <si>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</si>
  <si>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</si>
  <si>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</si>
  <si>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</si>
  <si>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</si>
  <si>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</si>
  <si>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</si>
  <si>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</si>
  <si>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</si>
  <si>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</si>
  <si>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</si>
  <si>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</si>
  <si>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</si>
  <si>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</si>
  <si>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</si>
  <si>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</si>
  <si>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</si>
  <si>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</si>
  <si>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</si>
  <si>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</si>
  <si>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</si>
  <si>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</si>
  <si>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</si>
  <si>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</si>
  <si>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</si>
  <si>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</si>
  <si>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</si>
  <si>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</si>
  <si>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</si>
  <si>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</si>
  <si>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</si>
  <si>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</si>
  <si>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</si>
  <si>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</si>
  <si>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</si>
  <si>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</si>
  <si>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</si>
  <si>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</si>
  <si>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</si>
  <si>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</si>
  <si>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</si>
  <si>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</si>
  <si>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</si>
  <si>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</si>
  <si>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</si>
  <si>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</si>
  <si>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</si>
  <si>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</si>
  <si>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</si>
  <si>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</si>
  <si>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</si>
  <si>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</si>
  <si>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</si>
  <si>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</si>
  <si>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</si>
  <si>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</si>
  <si>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</si>
  <si>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</si>
  <si>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</si>
  <si>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</si>
  <si>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</si>
  <si>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</si>
  <si>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</si>
  <si>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</si>
  <si>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</si>
  <si>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</si>
  <si>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</si>
  <si>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</si>
  <si>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</si>
  <si>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</si>
  <si>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</si>
  <si>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</si>
  <si>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</si>
  <si>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</si>
  <si>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</si>
  <si>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</si>
  <si>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</si>
  <si>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</si>
  <si>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</si>
  <si>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</si>
  <si>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</si>
  <si>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</si>
  <si>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</si>
  <si>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</si>
  <si>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</si>
  <si>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</si>
  <si>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</si>
  <si>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</si>
  <si>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</si>
  <si>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</si>
  <si>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</si>
  <si>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</si>
  <si>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</si>
  <si>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</si>
  <si>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</si>
  <si>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</si>
  <si>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</si>
  <si>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</si>
  <si>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</si>
  <si>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</si>
  <si>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</si>
  <si>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</si>
  <si>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</si>
  <si>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</si>
  <si>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</si>
  <si>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</si>
  <si>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</si>
  <si>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</si>
  <si>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</si>
  <si>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</si>
  <si>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</si>
  <si>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</si>
  <si>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</si>
  <si>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</si>
  <si>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</si>
  <si>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</si>
  <si>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</si>
  <si>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</si>
  <si>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</si>
  <si>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</si>
  <si>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</si>
  <si>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</si>
  <si>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</si>
  <si>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</si>
  <si>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</si>
  <si>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</si>
  <si>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</si>
  <si>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</si>
  <si>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</si>
  <si>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</si>
  <si>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</si>
  <si>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</si>
  <si>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</si>
  <si>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</si>
  <si>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</si>
  <si>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</si>
  <si>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</si>
  <si>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</si>
  <si>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</si>
  <si>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</si>
  <si>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</si>
  <si>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</si>
  <si>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</si>
  <si>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</si>
  <si>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</si>
  <si>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</si>
  <si>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</si>
  <si>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</si>
  <si>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</si>
  <si>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</si>
  <si>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</si>
  <si>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</si>
  <si>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</si>
  <si>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</si>
  <si>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</si>
  <si>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</si>
  <si>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</si>
  <si>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</si>
  <si>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</si>
  <si>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</si>
  <si>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</si>
  <si>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</si>
  <si>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</si>
  <si>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</si>
  <si>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</si>
  <si>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</si>
  <si>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</si>
  <si>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</si>
  <si>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</si>
  <si>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</si>
  <si>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</si>
  <si>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</si>
  <si>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</si>
  <si>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</si>
  <si>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</si>
  <si>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</si>
  <si>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</si>
  <si>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</si>
  <si>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</si>
  <si>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</si>
  <si>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</si>
  <si>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</si>
  <si>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</si>
  <si>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</si>
  <si>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</si>
  <si>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</si>
  <si>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</si>
  <si>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</si>
  <si>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</si>
  <si>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</si>
  <si>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</si>
  <si>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</si>
  <si>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</si>
  <si>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</si>
  <si>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</si>
  <si>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</si>
  <si>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</si>
  <si>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</si>
  <si>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</si>
  <si>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</si>
  <si>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</si>
  <si>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</si>
  <si>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</si>
  <si>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</si>
  <si>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</si>
  <si>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</si>
  <si>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</si>
  <si>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</si>
  <si>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</si>
  <si>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</si>
  <si>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</si>
  <si>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</si>
  <si>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</si>
  <si>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</si>
  <si>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</si>
  <si>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</si>
  <si>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</si>
  <si>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</si>
  <si>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</si>
  <si>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</si>
  <si>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</si>
  <si>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</si>
  <si>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</si>
  <si>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</si>
  <si>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</si>
  <si>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</si>
  <si>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</si>
  <si>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</si>
  <si>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</si>
  <si>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</si>
  <si>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</si>
  <si>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</si>
  <si>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</si>
  <si>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</si>
  <si>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</si>
  <si>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</si>
  <si>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</si>
  <si>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</si>
  <si>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</si>
  <si>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</si>
  <si>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</si>
  <si>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</si>
  <si>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</si>
  <si>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</si>
  <si>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</si>
  <si>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</si>
  <si>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</si>
  <si>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</si>
  <si>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</si>
  <si>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</si>
  <si>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</si>
  <si>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</si>
  <si>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</si>
  <si>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</si>
  <si>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</si>
  <si>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</si>
  <si>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</si>
  <si>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</si>
  <si>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</si>
  <si>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</si>
  <si>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</si>
  <si>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</si>
  <si>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</si>
  <si>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</si>
  <si>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</si>
  <si>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</si>
  <si>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</si>
  <si>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</si>
  <si>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</si>
  <si>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</si>
  <si>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</si>
  <si>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</si>
  <si>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</si>
  <si>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</si>
  <si>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</si>
  <si>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</si>
  <si>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</si>
  <si>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</si>
  <si>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</si>
  <si>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</si>
  <si>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</si>
  <si>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</si>
  <si>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</si>
  <si>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</si>
  <si>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</si>
  <si>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</si>
  <si>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</si>
  <si>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</si>
  <si>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</si>
  <si>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</si>
  <si>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</si>
  <si>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</si>
  <si>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</si>
  <si>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</si>
  <si>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</si>
  <si>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</si>
  <si>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</si>
  <si>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</si>
  <si>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</si>
  <si>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</si>
  <si>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</si>
  <si>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NeoBerInfB!$D$36</t>
  </si>
  <si>
    <t>NeoBerInfB!$D$10</t>
  </si>
  <si>
    <t>NeoBerInfB!$D$12</t>
  </si>
  <si>
    <t>NeoBerInfB!$D$16</t>
  </si>
  <si>
    <t>NeoBerInfB!$D$35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</si>
  <si>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</si>
  <si>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</si>
  <si>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</si>
  <si>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</si>
  <si>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</si>
  <si>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</si>
  <si>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</si>
  <si>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</si>
  <si>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</si>
  <si>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</si>
  <si>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</si>
  <si>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</si>
  <si>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NeoBerInfB!$D$40</t>
  </si>
  <si>
    <t>NeoBerInfB!$D$20</t>
  </si>
  <si>
    <t>NeoBerInfB!$D$21</t>
  </si>
  <si>
    <t>NeoBerInfB!$D$22</t>
  </si>
  <si>
    <t>NeoBerInfB!$D$23</t>
  </si>
  <si>
    <t>NeoBerInfB!$D$24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</si>
  <si>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</si>
  <si>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</si>
  <si>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</si>
  <si>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</si>
  <si>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</si>
  <si>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</si>
  <si>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</si>
  <si>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</si>
  <si>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</si>
  <si>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NeoBerInfB!$J$52</t>
  </si>
  <si>
    <t>NeoBerInfB!$J$54</t>
  </si>
  <si>
    <t>NeoBerInfB!$J$55</t>
  </si>
  <si>
    <t>NeoBerInfB!$J$56</t>
  </si>
  <si>
    <t>NeoBerInfB!$D$41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</si>
  <si>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</si>
  <si>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</si>
  <si>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</si>
  <si>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</si>
  <si>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</si>
  <si>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</si>
  <si>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</si>
  <si>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</si>
  <si>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</si>
  <si>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NeoBerInfB!$B$54</t>
  </si>
  <si>
    <t>NeoBerInfB!$B$55</t>
  </si>
  <si>
    <t>NeoBerInfB!$B$56</t>
  </si>
  <si>
    <t>NeoBerInfB!$D$39</t>
  </si>
  <si>
    <t>NeoBerInfB!$D$37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</si>
  <si>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</si>
  <si>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</si>
  <si>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</si>
  <si>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</si>
  <si>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</si>
  <si>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</si>
  <si>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</si>
  <si>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</si>
  <si>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</si>
  <si>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</si>
  <si>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</si>
  <si>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</si>
  <si>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</si>
  <si>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</si>
  <si>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</si>
  <si>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</si>
  <si>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</si>
  <si>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</si>
  <si>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</si>
  <si>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</si>
  <si>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</si>
  <si>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</si>
  <si>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</si>
  <si>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</si>
  <si>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</si>
  <si>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</si>
  <si>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</si>
  <si>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</si>
  <si>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</si>
  <si>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</si>
  <si>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</si>
  <si>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</si>
  <si>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</si>
  <si>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</si>
  <si>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</si>
  <si>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</si>
  <si>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</si>
  <si>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</si>
  <si>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</si>
  <si>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</si>
  <si>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</si>
  <si>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</si>
  <si>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</si>
  <si>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</si>
  <si>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</si>
  <si>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</si>
  <si>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</si>
  <si>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</si>
  <si>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</si>
  <si>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</si>
  <si>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</si>
  <si>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</si>
  <si>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</si>
  <si>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</si>
  <si>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</si>
  <si>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</si>
  <si>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</si>
  <si>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</si>
  <si>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</si>
  <si>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</si>
  <si>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</si>
  <si>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</si>
  <si>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</si>
  <si>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</si>
  <si>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</si>
  <si>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</si>
  <si>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</si>
  <si>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</si>
  <si>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</si>
  <si>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</si>
  <si>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</si>
  <si>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</si>
  <si>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</si>
  <si>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</si>
  <si>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</si>
  <si>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</si>
  <si>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</si>
  <si>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</si>
  <si>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</si>
  <si>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</si>
  <si>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</si>
  <si>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</si>
  <si>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</si>
  <si>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</si>
  <si>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NeoBerInfB!$B$90</t>
  </si>
  <si>
    <t>NeoBerInfB!$B$91</t>
  </si>
  <si>
    <t>NeoBerInfB!$B$92</t>
  </si>
  <si>
    <t>NeoBerInfB!$B$93</t>
  </si>
  <si>
    <t>NeoBerInfB!$B$94</t>
  </si>
  <si>
    <t>NeoBerInfB!$B$95</t>
  </si>
  <si>
    <t>NeoBerInfB!$B$96</t>
  </si>
  <si>
    <t>NeoBerInfB!$B$97</t>
  </si>
  <si>
    <t>NeoBerInfB!$B$98</t>
  </si>
  <si>
    <t>NeoBerInfB!$B$99</t>
  </si>
  <si>
    <t>NeoBerInfB!$B$100</t>
  </si>
  <si>
    <t>NeoBerInfB!$B$101</t>
  </si>
  <si>
    <t>NeoBerInfB!$B$102</t>
  </si>
  <si>
    <t>NeoBerInfB!$B$103</t>
  </si>
  <si>
    <t>NeoBerInfB!$B$104</t>
  </si>
  <si>
    <t>NeoBerInfB!$B$105</t>
  </si>
  <si>
    <t>NeoBerInfB!$B$73</t>
  </si>
  <si>
    <t>NeoBerInfB!$B$74</t>
  </si>
  <si>
    <t>NeoBerInfB!$B$75</t>
  </si>
  <si>
    <t>NeoBerInfB!$B$76</t>
  </si>
  <si>
    <t>NeoBerInfB!$B$79</t>
  </si>
  <si>
    <t>NeoBerInfB!$B$80</t>
  </si>
  <si>
    <t>NeoBerInfB!$B$81</t>
  </si>
  <si>
    <t>NeoBerInfB!$B$82</t>
  </si>
  <si>
    <t>NeoBerInfB!$B$83</t>
  </si>
  <si>
    <t>NeoBerInfB!$B$84</t>
  </si>
  <si>
    <t>NeoBerInfB!$B$85</t>
  </si>
  <si>
    <t>NeoBerInfB!$B$86</t>
  </si>
  <si>
    <t>F:=IF(NeoGuiInfB!E28&gt;0,CONCATENATE(NeoGuiInfB!B28," ",NeoGuiInfB!E28," ",NeoGuiInfB!F28),"")</t>
  </si>
  <si>
    <t>NeoBerInfB!$B$87</t>
  </si>
  <si>
    <t>F:=NeoGuiInfB!B30</t>
  </si>
  <si>
    <t>PedBerAfspr!$B$47</t>
  </si>
  <si>
    <t>PedBerAfspr!$B$49</t>
  </si>
  <si>
    <t>PedBerAfspr!$B$48</t>
  </si>
  <si>
    <t>PedBerAfspr!$B$50</t>
  </si>
  <si>
    <t>GlobBerMedDisc!$P$33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</si>
  <si>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</si>
  <si>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</si>
  <si>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</si>
  <si>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</si>
  <si>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</si>
  <si>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</si>
  <si>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</si>
  <si>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</si>
  <si>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</si>
  <si>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</si>
  <si>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</si>
  <si>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</si>
  <si>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</si>
  <si>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</si>
  <si>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</si>
  <si>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</si>
  <si>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</si>
  <si>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</si>
  <si>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</si>
  <si>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</si>
  <si>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</si>
  <si>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</si>
  <si>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</si>
  <si>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</si>
  <si>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</si>
  <si>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</si>
  <si>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</si>
  <si>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</si>
  <si>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</si>
  <si>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</si>
  <si>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</si>
  <si>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</si>
  <si>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</si>
  <si>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</si>
  <si>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</si>
  <si>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</si>
  <si>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</si>
  <si>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</si>
  <si>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</si>
  <si>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</si>
  <si>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</si>
  <si>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</si>
  <si>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</si>
  <si>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</si>
  <si>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</si>
  <si>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</si>
  <si>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</si>
  <si>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</si>
  <si>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</si>
  <si>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</si>
  <si>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</si>
  <si>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</si>
  <si>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</si>
  <si>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</si>
  <si>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</si>
  <si>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</si>
  <si>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</si>
  <si>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</si>
  <si>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</si>
  <si>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</si>
  <si>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</si>
  <si>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</si>
  <si>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</si>
  <si>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</si>
  <si>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</si>
  <si>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</si>
  <si>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</si>
  <si>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</si>
  <si>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</si>
  <si>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</si>
  <si>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</si>
  <si>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</si>
  <si>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</si>
  <si>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</si>
  <si>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</si>
  <si>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</si>
  <si>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</si>
  <si>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</si>
  <si>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</si>
  <si>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</si>
  <si>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</si>
  <si>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</si>
  <si>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</si>
  <si>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</si>
  <si>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</si>
  <si>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</si>
  <si>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</si>
  <si>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</si>
  <si>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</si>
  <si>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</si>
  <si>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</si>
  <si>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</si>
  <si>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</si>
  <si>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</si>
  <si>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</si>
  <si>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</si>
  <si>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</si>
  <si>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</si>
  <si>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</si>
  <si>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</si>
  <si>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</si>
  <si>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</si>
  <si>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</si>
  <si>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</si>
  <si>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</si>
  <si>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</si>
  <si>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</si>
  <si>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</si>
  <si>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</si>
  <si>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</si>
  <si>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</si>
  <si>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</si>
  <si>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</si>
  <si>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</si>
  <si>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</si>
  <si>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</si>
  <si>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</si>
  <si>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</si>
  <si>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</si>
  <si>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</si>
  <si>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</si>
  <si>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</si>
  <si>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</si>
  <si>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</si>
  <si>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</si>
  <si>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</si>
  <si>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</si>
  <si>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</si>
  <si>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</si>
  <si>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</si>
  <si>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</si>
  <si>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</si>
  <si>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</si>
  <si>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</si>
  <si>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</si>
  <si>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</si>
  <si>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</si>
  <si>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</si>
  <si>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</si>
  <si>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</si>
  <si>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</si>
  <si>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</si>
  <si>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</si>
  <si>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</si>
  <si>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</si>
  <si>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</si>
  <si>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</si>
  <si>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</si>
  <si>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</si>
  <si>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</si>
  <si>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</si>
  <si>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</si>
  <si>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</si>
  <si>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</si>
  <si>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</si>
  <si>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</si>
  <si>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</si>
  <si>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</si>
  <si>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</si>
  <si>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</si>
  <si>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</si>
  <si>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</si>
  <si>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</si>
  <si>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</si>
  <si>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</si>
  <si>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</si>
  <si>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</si>
  <si>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</si>
  <si>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</si>
  <si>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</si>
  <si>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</si>
  <si>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</si>
  <si>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</si>
  <si>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</si>
  <si>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</si>
  <si>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</si>
  <si>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</si>
  <si>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</si>
  <si>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</si>
  <si>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</si>
  <si>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</si>
  <si>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</si>
  <si>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</si>
  <si>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</si>
  <si>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</si>
  <si>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</si>
  <si>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</si>
  <si>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</si>
  <si>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</si>
  <si>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</si>
  <si>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</si>
  <si>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</si>
  <si>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</si>
  <si>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</si>
  <si>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</si>
  <si>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</si>
  <si>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</si>
  <si>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</si>
  <si>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</si>
  <si>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</si>
  <si>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</si>
  <si>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</si>
  <si>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</si>
  <si>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GlobBerOpm!$B$3</t>
  </si>
  <si>
    <t>GlobBerOpm!$B$4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</si>
  <si>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</si>
  <si>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</si>
  <si>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</si>
  <si>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</si>
  <si>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</si>
  <si>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</si>
  <si>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</si>
  <si>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</si>
  <si>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</si>
  <si>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</si>
  <si>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</si>
  <si>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</si>
  <si>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</si>
  <si>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</si>
  <si>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</si>
  <si>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</si>
  <si>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</si>
  <si>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</si>
  <si>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</si>
  <si>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</si>
  <si>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</si>
  <si>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</si>
  <si>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</si>
  <si>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</si>
  <si>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</si>
  <si>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</si>
  <si>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</si>
  <si>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</si>
  <si>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</si>
  <si>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</si>
  <si>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</si>
  <si>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</si>
  <si>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</si>
  <si>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</si>
  <si>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</si>
  <si>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</si>
  <si>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</si>
  <si>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</si>
  <si>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</si>
  <si>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</si>
  <si>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</si>
  <si>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</si>
  <si>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</si>
  <si>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</si>
  <si>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</si>
  <si>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</si>
  <si>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</si>
  <si>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</si>
  <si>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</si>
  <si>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</si>
  <si>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</si>
  <si>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</si>
  <si>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</si>
  <si>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</si>
  <si>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</si>
  <si>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</si>
  <si>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</si>
  <si>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</si>
  <si>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</si>
  <si>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</si>
  <si>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</si>
  <si>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</si>
  <si>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</si>
  <si>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</si>
  <si>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</si>
  <si>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</si>
  <si>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</si>
  <si>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</si>
  <si>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</si>
  <si>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</si>
  <si>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</si>
  <si>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</si>
  <si>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</si>
  <si>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</si>
  <si>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</si>
  <si>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</si>
  <si>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</si>
  <si>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</si>
  <si>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</si>
  <si>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</si>
  <si>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</si>
  <si>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</si>
  <si>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</si>
  <si>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PedBerIVenPM!$H$2</t>
  </si>
  <si>
    <t>PedBerIVenPM!$K$2</t>
  </si>
  <si>
    <t>PedBerIVenPM!$K$5</t>
  </si>
  <si>
    <t>PedBerIVenPM!$K$4</t>
  </si>
  <si>
    <t>PedBerIVenPM!$K$1</t>
  </si>
  <si>
    <t>PedBerIVenPM!$I$2</t>
  </si>
  <si>
    <t>PedBerIVenPM!$K$3</t>
  </si>
  <si>
    <t>PedBerIVenPM!$K$6</t>
  </si>
  <si>
    <t>PedBerIVenPM!$K$1:$K$6</t>
  </si>
  <si>
    <t>PedBerIVenPM!$L$1:$L$6</t>
  </si>
  <si>
    <t>PatDetails!$B$13</t>
  </si>
  <si>
    <t>Var_Pat_OpnameDat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</si>
  <si>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</si>
  <si>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</si>
  <si>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</si>
  <si>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</si>
  <si>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</si>
  <si>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</si>
  <si>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</si>
  <si>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</si>
  <si>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</si>
  <si>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</si>
  <si>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</si>
  <si>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</si>
  <si>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</si>
  <si>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</si>
  <si>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</si>
  <si>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</si>
  <si>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</si>
  <si>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</si>
  <si>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</si>
  <si>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</si>
  <si>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</si>
  <si>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</si>
  <si>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</si>
  <si>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</si>
  <si>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</si>
  <si>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</si>
  <si>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</si>
  <si>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</si>
  <si>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</si>
  <si>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</si>
  <si>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</si>
  <si>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</si>
  <si>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</si>
  <si>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</si>
  <si>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</si>
  <si>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</si>
  <si>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</si>
  <si>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</si>
  <si>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</si>
  <si>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</si>
  <si>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</si>
  <si>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</si>
  <si>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</si>
  <si>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</si>
  <si>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</si>
  <si>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</si>
  <si>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</si>
  <si>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</si>
  <si>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</si>
  <si>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</si>
  <si>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</si>
  <si>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</si>
  <si>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</si>
  <si>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</si>
  <si>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</si>
  <si>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</si>
  <si>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</si>
  <si>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</si>
  <si>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</si>
  <si>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</si>
  <si>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</si>
  <si>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</si>
  <si>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</si>
  <si>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</si>
  <si>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</si>
  <si>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</si>
  <si>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</si>
  <si>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</si>
  <si>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</si>
  <si>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</si>
  <si>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</si>
  <si>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</si>
  <si>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</si>
  <si>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</si>
  <si>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</si>
  <si>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</si>
  <si>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</si>
  <si>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</si>
  <si>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</si>
  <si>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</si>
  <si>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</si>
  <si>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</si>
  <si>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</si>
  <si>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</si>
  <si>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</si>
  <si>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</si>
  <si>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</si>
  <si>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</si>
  <si>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</si>
  <si>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</si>
  <si>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</si>
  <si>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</si>
  <si>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</si>
  <si>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</si>
  <si>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</si>
  <si>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</si>
  <si>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</si>
  <si>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</si>
  <si>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</si>
  <si>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</si>
  <si>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</si>
  <si>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</si>
  <si>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</si>
  <si>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</si>
  <si>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</si>
  <si>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</si>
  <si>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</si>
  <si>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</si>
  <si>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</si>
  <si>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</si>
  <si>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</si>
  <si>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</si>
  <si>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</si>
  <si>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</si>
  <si>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</si>
  <si>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</si>
  <si>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</si>
  <si>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</si>
  <si>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</si>
  <si>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</si>
  <si>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</si>
  <si>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</si>
  <si>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</si>
  <si>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</si>
  <si>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</si>
  <si>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</si>
  <si>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</si>
  <si>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</si>
  <si>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</si>
  <si>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</si>
  <si>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</si>
  <si>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</si>
  <si>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</si>
  <si>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</si>
  <si>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</si>
  <si>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</si>
  <si>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</si>
  <si>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</si>
  <si>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</si>
  <si>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</si>
  <si>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</si>
  <si>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</si>
  <si>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</si>
  <si>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</si>
  <si>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</si>
  <si>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</si>
  <si>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</si>
  <si>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</si>
  <si>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</si>
  <si>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</si>
  <si>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</si>
  <si>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</si>
  <si>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</si>
  <si>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</si>
  <si>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</si>
  <si>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</si>
  <si>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</si>
  <si>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</si>
  <si>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</si>
  <si>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</si>
  <si>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</si>
  <si>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</si>
  <si>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</si>
  <si>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</si>
  <si>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</si>
  <si>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</si>
  <si>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</si>
  <si>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</si>
  <si>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</si>
  <si>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</si>
  <si>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</si>
  <si>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</si>
  <si>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</si>
  <si>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</si>
  <si>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</si>
  <si>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</si>
  <si>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</si>
  <si>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</si>
  <si>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</si>
  <si>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</si>
  <si>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</si>
  <si>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</si>
  <si>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</si>
  <si>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</si>
  <si>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</si>
  <si>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</si>
  <si>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</si>
  <si>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</si>
  <si>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</si>
  <si>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</si>
  <si>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</si>
  <si>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</si>
  <si>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</si>
  <si>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</si>
  <si>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</si>
  <si>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</si>
  <si>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</si>
  <si>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</si>
  <si>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</si>
  <si>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</si>
  <si>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</si>
  <si>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</si>
  <si>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</si>
  <si>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</si>
  <si>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</si>
  <si>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</si>
  <si>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</si>
  <si>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</si>
  <si>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</si>
  <si>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</si>
  <si>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</si>
  <si>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</si>
  <si>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</si>
  <si>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</si>
  <si>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</si>
  <si>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</si>
  <si>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</si>
  <si>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</si>
  <si>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</si>
  <si>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</si>
  <si>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</si>
  <si>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</si>
  <si>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</si>
  <si>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</si>
  <si>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</si>
  <si>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</si>
  <si>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</si>
  <si>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</si>
  <si>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</si>
  <si>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</si>
  <si>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</si>
  <si>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</si>
  <si>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</si>
  <si>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</si>
  <si>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</si>
  <si>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</si>
  <si>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</si>
  <si>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</si>
  <si>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</si>
  <si>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</si>
  <si>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</si>
  <si>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</si>
  <si>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GlobNames!$A$1:$I$1948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</si>
  <si>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</si>
  <si>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</si>
  <si>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</si>
  <si>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</si>
  <si>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</si>
  <si>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</si>
  <si>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</si>
  <si>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</si>
  <si>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</si>
  <si>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</si>
  <si>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</si>
  <si>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</si>
  <si>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</si>
  <si>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</si>
  <si>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</si>
  <si>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</si>
  <si>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</si>
  <si>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</si>
  <si>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</si>
  <si>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</si>
  <si>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</si>
  <si>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</si>
  <si>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</si>
  <si>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</si>
  <si>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</si>
  <si>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</si>
  <si>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</si>
  <si>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</si>
  <si>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</si>
  <si>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</si>
  <si>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</si>
  <si>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</si>
  <si>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</si>
  <si>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</si>
  <si>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</si>
  <si>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</si>
  <si>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</si>
  <si>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</si>
  <si>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</si>
  <si>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</si>
  <si>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</si>
  <si>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</si>
  <si>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</si>
  <si>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</si>
  <si>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</si>
  <si>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</si>
  <si>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</si>
  <si>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</si>
  <si>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</si>
  <si>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</si>
  <si>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</si>
  <si>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</si>
  <si>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F:=IF(Txt_Neo_Wb_TPN_Stand&lt;&gt;"",CONCATENATE("TPN: ",Txt_Neo_Wb_TPN_Stand, " ml/uur"),"")</t>
  </si>
  <si>
    <t>Txt_Neo_InfB_ContIV_17</t>
  </si>
  <si>
    <t>F:=IF(Txt_Neo_Wb_TPN_Stand&lt;&gt;"",CONCATENATE("TPN Totaal: ",Txt_Neo_Wb_TPN_TotaalGeheel,",",  ROUND(Txt_Neo_Wb_TPN_TotaalBreuk,0), " ml"),"")</t>
  </si>
  <si>
    <t>Txt_Neo_InfB_ContIV_18</t>
  </si>
  <si>
    <t>F:=IF(OR(Txt_Neo_Wb_TPN_NaClGeheel&lt;&gt;"",Txt_Neo_Wb_TPN_NaClBreuk&lt;&gt;""),CONCATENATE(Txt_Neo_Wb_TPN_NaCLTekst," ",Txt_Neo_Wb_TPN_NaClGeheel,",", Txt_Neo_Wb_TPN_NaClBreuk, " ml"),"")</t>
  </si>
  <si>
    <t>Txt_Neo_InfB_ContIV_19</t>
  </si>
  <si>
    <t>F:=IF(OR(Txt_Neo_Wb_TPN_KacetaatGeheel&lt;&gt;"",Txt_Neo_Wb_TPN_KacetaatBreuk&lt;&gt;""),CONCATENATE(Txt_Neo_Wb_TPN_KacetaatTekst," ",Txt_Neo_Wb_TPN_KacetaatGeheel,",", Txt_Neo_Wb_TPN_KacetaatBreuk, " ml"),"")</t>
  </si>
  <si>
    <t>Txt_Neo_InfB_ContIV_20</t>
  </si>
  <si>
    <t>F:=IF(OR(Txt_Neo_Wb_TPN_CaClGeheel&lt;&gt;"",Txt_Neo_Wb_TPN_CaClBreuk&lt;&gt;""),CONCATENATE(Txt_Neo_Wb_TPN_CaClTekst," ",Txt_Neo_Wb_TPN_CaClGeheel,",", Txt_Neo_Wb_TPN_CaClBreuk, " ml"),"")</t>
  </si>
  <si>
    <t>Txt_Neo_InfB_ContIV_21</t>
  </si>
  <si>
    <t>F:=IF(OR(Txt_Neo_Wb_TPN_MgClGeheel&lt;&gt;"",Txt_Neo_Wb_TPN_MgClBreuk&lt;&gt;""),CONCATENATE(Txt_Neo_Wb_TPN_MgClTekst," ",Txt_Neo_Wb_TPN_MgClGeheel,",", Txt_Neo_Wb_TPN_MgClBreuk, " ml"),"")</t>
  </si>
  <si>
    <t>Txt_Neo_InfB_ContIV_22</t>
  </si>
  <si>
    <t>F:=IF(OR(Txt_Neo_Wb_TPN_SoluvitGeheel&lt;&gt;"",Txt_Neo_Wb_TPN_SoluvitBreuk&lt;&gt;""),CONCATENATE(Txt_Neo_Wb_TPN_SoluvitTekst," ",Txt_Neo_Wb_TPN_SoluvitGeheel,",", Txt_Neo_Wb_TPN_SoluvitBreuk, " ml"),"")</t>
  </si>
  <si>
    <t>Txt_Neo_InfB_ContIV_23</t>
  </si>
  <si>
    <t>F:=IF(OR(Txt_Neo_Wb_TPN_PrimeneGeheel&lt;&gt;"",Txt_Neo_Wb_TPN_PrimeneBreuk&lt;&gt;""),CONCATENATE(Txt_Neo_Wb_TPN_PrimeneTekst," ",Txt_Neo_Wb_TPN_PrimeneGeheel,",", Txt_Neo_Wb_TPN_PrimeneBreuk, " ml"),"")</t>
  </si>
  <si>
    <t>Txt_Neo_InfB_ContIV_24</t>
  </si>
  <si>
    <t>F:=IF(OR(Txt_Neo_Wb_TPN_NICUmixGeheel&lt;&gt;"",Txt_Neo_Wb_TPN_NICUmixBreuk&lt;&gt;""),CONCATENATE(Txt_Neo_Wb_TPN_NICUmixTekst," ",Txt_Neo_Wb_TPN_NICUmixGeheel,",", Txt_Neo_Wb_TPN_NICUmixBreuk, " ml"),"")</t>
  </si>
  <si>
    <t>Txt_Neo_InfB_ContIV_25</t>
  </si>
  <si>
    <t>F:=IF(OR(Txt_Neo_Wb_TPN_SamBGeheel&lt;&gt;"",Txt_Neo_Wb_TPN_SamBBreuk&lt;&gt;""),CONCATENATE(Txt_Neo_Wb_TPN_SamBTekst," ",Txt_Neo_Wb_TPN_SamBGeheel,",", Txt_Neo_Wb_TPN_SamBBreuk, " ml"),"")</t>
  </si>
  <si>
    <t>Txt_Neo_InfB_ContIV_26</t>
  </si>
  <si>
    <t>F:=IF(OR(Txt_Neo_Wb_TPN_GlucGeheel&lt;&gt;"",Txt_Neo_Wb_TPN_GlucBreuk&lt;&gt;""),CONCATENATE(Txt_Neo_Wb_TPN_GlucTekst," ",Txt_Neo_Wb_TPN_GlucGeheel,",", ROUND(Txt_Neo_Wb_TPN_GlucBreuk,2), " ml"),"")</t>
  </si>
  <si>
    <t>Txt_Neo_InfB_ContIV_27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</si>
  <si>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</si>
  <si>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</si>
  <si>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</si>
  <si>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</si>
  <si>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</si>
  <si>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</si>
  <si>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</si>
  <si>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</si>
  <si>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</si>
  <si>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</si>
  <si>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Txt_Neo_InfB_Voeding_11</t>
  </si>
  <si>
    <t>Txt_Neo_InfB_Voeding_12</t>
  </si>
  <si>
    <t>Txt_Neo_InfB_Voeding_13</t>
  </si>
  <si>
    <t>Txt_Neo_InfB_Voeding_14</t>
  </si>
  <si>
    <t>Txt_Neo_InfB_Voeding_15</t>
  </si>
  <si>
    <t>Actuele Afspraken</t>
  </si>
  <si>
    <t>_Neo_1700_Cont_ArtLijn</t>
  </si>
  <si>
    <t>_Neo_1700_Cont_MedKeuze_1</t>
  </si>
  <si>
    <t>_Neo_1700_Cont_MedKeuze_2</t>
  </si>
  <si>
    <t>_Neo_1700_Cont_MedKeuze_3</t>
  </si>
  <si>
    <t>_Neo_1700_Cont_MedKeuze_4</t>
  </si>
  <si>
    <t>_Neo_1700_Cont_MedKeuze_5</t>
  </si>
  <si>
    <t>_Neo_1700_Cont_MedKeuze_6</t>
  </si>
  <si>
    <t>_Neo_1700_Cont_MedKeuze_7</t>
  </si>
  <si>
    <t>_Neo_1700_Cont_MedKeuze_8</t>
  </si>
  <si>
    <t>_Neo_1700_Cont_MedKeuze_9</t>
  </si>
  <si>
    <t>_Neo_1700_Cont_MedSterkte_1</t>
  </si>
  <si>
    <t>_Neo_1700_Cont_MedSterkte_2</t>
  </si>
  <si>
    <t>_Neo_1700_Cont_MedSterkte_3</t>
  </si>
  <si>
    <t>_Neo_1700_Cont_MedSterkte_4</t>
  </si>
  <si>
    <t>_Neo_1700_Cont_MedSterkte_5</t>
  </si>
  <si>
    <t>_Neo_1700_Cont_MedSterkte_6</t>
  </si>
  <si>
    <t>_Neo_1700_Cont_MedSterkte_7</t>
  </si>
  <si>
    <t>_Neo_1700_Cont_MedSterkte_8</t>
  </si>
  <si>
    <t>_Neo_1700_Cont_MedSterkte_9</t>
  </si>
  <si>
    <t>_Neo_1700_Cont_MedTekst_1</t>
  </si>
  <si>
    <t>_Neo_1700_Cont_MedTekst_2</t>
  </si>
  <si>
    <t>_Neo_1700_Cont_OplHoev_1</t>
  </si>
  <si>
    <t>_Neo_1700_Cont_OplHoev_2</t>
  </si>
  <si>
    <t>_Neo_1700_Cont_OplHoev_3</t>
  </si>
  <si>
    <t>_Neo_1700_Cont_OplHoev_4</t>
  </si>
  <si>
    <t>_Neo_1700_Cont_OplHoev_5</t>
  </si>
  <si>
    <t>_Neo_1700_Cont_OplHoev_6</t>
  </si>
  <si>
    <t>_Neo_1700_Cont_OplHoev_7</t>
  </si>
  <si>
    <t>_Neo_1700_Cont_OplHoev_8</t>
  </si>
  <si>
    <t>_Neo_1700_Cont_OplHoev_9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</si>
  <si>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</si>
  <si>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</si>
  <si>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</si>
  <si>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</si>
  <si>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</si>
  <si>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</si>
  <si>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</si>
  <si>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</si>
  <si>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</si>
  <si>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</si>
  <si>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</si>
  <si>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</si>
  <si>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</si>
  <si>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</si>
  <si>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</si>
  <si>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</si>
  <si>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</si>
  <si>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</si>
  <si>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</si>
  <si>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</si>
  <si>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</si>
  <si>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</si>
  <si>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</si>
  <si>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</si>
  <si>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</si>
  <si>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</si>
  <si>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</si>
  <si>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</si>
  <si>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</si>
  <si>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</si>
  <si>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</si>
  <si>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</si>
  <si>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</si>
  <si>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</si>
  <si>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</si>
  <si>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</si>
  <si>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</si>
  <si>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</si>
  <si>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</si>
  <si>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</si>
  <si>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</si>
  <si>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</si>
  <si>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</si>
  <si>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</si>
  <si>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</si>
  <si>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</si>
  <si>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</si>
  <si>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</si>
  <si>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</si>
  <si>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</si>
  <si>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</si>
  <si>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</si>
  <si>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</si>
  <si>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</si>
  <si>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</si>
  <si>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</si>
  <si>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</si>
  <si>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</si>
  <si>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</si>
  <si>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</si>
  <si>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</si>
  <si>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</si>
  <si>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</si>
  <si>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</si>
  <si>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</si>
  <si>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</si>
  <si>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</si>
  <si>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</si>
  <si>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</si>
  <si>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_Neo_1700_TPN_Nacl</t>
  </si>
  <si>
    <t>_Neo_1700_TPN_NICUMix</t>
  </si>
  <si>
    <t>_Neo_1700_TPN_Parenteraal</t>
  </si>
  <si>
    <t>_Neo_1700_TPN_Primene</t>
  </si>
  <si>
    <t>_Neo_1700_TPN_SoluVit</t>
  </si>
  <si>
    <t>_Neo_1700_TPN_SSTB</t>
  </si>
  <si>
    <t>_Neo_InfB_Cont_ArtLijn</t>
  </si>
  <si>
    <t>_Neo_InfB_Cont_MedKeuze_1</t>
  </si>
  <si>
    <t>_Neo_InfB_Cont_MedKeuze_2</t>
  </si>
  <si>
    <t>_Neo_InfB_Cont_MedKeuze_3</t>
  </si>
  <si>
    <t>_Neo_InfB_Cont_MedKeuze_4</t>
  </si>
  <si>
    <t>_Neo_InfB_Cont_MedKeuze_5</t>
  </si>
  <si>
    <t>_Neo_InfB_Cont_MedKeuze_6</t>
  </si>
  <si>
    <t>_Neo_InfB_Cont_MedKeuze_7</t>
  </si>
  <si>
    <t>_Neo_InfB_Cont_MedKeuze_8</t>
  </si>
  <si>
    <t>_Neo_InfB_Cont_MedKeuze_9</t>
  </si>
  <si>
    <t>_Neo_InfB_Cont_MedSterkte_1</t>
  </si>
  <si>
    <t>_Neo_InfB_Cont_MedSterkte_2</t>
  </si>
  <si>
    <t>_Neo_InfB_Cont_MedSterkte_3</t>
  </si>
  <si>
    <t>_Neo_InfB_Cont_MedSterkte_4</t>
  </si>
  <si>
    <t>_Neo_InfB_Cont_MedSterkte_5</t>
  </si>
  <si>
    <t>_Neo_InfB_Cont_MedSterkte_6</t>
  </si>
  <si>
    <t>_Neo_InfB_Cont_MedSterkte_7</t>
  </si>
  <si>
    <t>_Neo_InfB_Cont_MedSterkte_8</t>
  </si>
  <si>
    <t>_Neo_InfB_Cont_MedSterkte_9</t>
  </si>
  <si>
    <t>_Neo_InfB_Cont_MedTekst_1</t>
  </si>
  <si>
    <t>_Neo_InfB_Cont_MedTekst_2</t>
  </si>
  <si>
    <t>_Neo_InfB_Cont_OplHoev_1</t>
  </si>
  <si>
    <t>_Neo_InfB_Cont_OplHoev_2</t>
  </si>
  <si>
    <t>_Neo_InfB_Cont_OplHoev_3</t>
  </si>
  <si>
    <t>_Neo_InfB_Cont_OplHoev_4</t>
  </si>
  <si>
    <t>_Neo_InfB_Cont_OplHoev_5</t>
  </si>
  <si>
    <t>_Neo_InfB_Cont_OplHoev_6</t>
  </si>
  <si>
    <t>_Neo_InfB_Cont_OplHoev_7</t>
  </si>
  <si>
    <t>_Neo_InfB_Cont_OplHoev_8</t>
  </si>
  <si>
    <t>_Neo_InfB_Cont_OplHoev_9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</si>
  <si>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</si>
  <si>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</si>
  <si>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</si>
  <si>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</si>
  <si>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</si>
  <si>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</si>
  <si>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</si>
  <si>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</si>
  <si>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</si>
  <si>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</si>
  <si>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</si>
  <si>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</si>
  <si>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</si>
  <si>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</si>
  <si>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</si>
  <si>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</si>
  <si>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</si>
  <si>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</si>
  <si>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</si>
  <si>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</si>
  <si>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</si>
  <si>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</si>
  <si>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</si>
  <si>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</si>
  <si>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</si>
  <si>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</si>
  <si>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</si>
  <si>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</si>
  <si>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</si>
  <si>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</si>
  <si>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</si>
  <si>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</si>
  <si>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</si>
  <si>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</si>
  <si>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</si>
  <si>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</si>
  <si>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</si>
  <si>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</si>
  <si>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</si>
  <si>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</si>
  <si>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</si>
  <si>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</si>
  <si>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</si>
  <si>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</si>
  <si>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</si>
  <si>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</si>
  <si>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</si>
  <si>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</si>
  <si>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</si>
  <si>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</si>
  <si>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</si>
  <si>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</si>
  <si>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</si>
  <si>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</si>
  <si>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</si>
  <si>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</si>
  <si>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</si>
  <si>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</si>
  <si>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</si>
  <si>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</si>
  <si>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</si>
  <si>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</si>
  <si>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</si>
  <si>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</si>
  <si>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</si>
  <si>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</si>
  <si>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</si>
  <si>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</si>
  <si>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</si>
  <si>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</si>
  <si>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</si>
  <si>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</si>
  <si>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</si>
  <si>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</si>
  <si>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</si>
  <si>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F:=IF(Txt_Neo_Wb_IVAcc_Stand&lt;&gt;"",CONCATENATE(Txt_Neo_Wb_IVAcc_Tekst," ",Txt_Neo_Wb_IVAcc_Stand, " ml/uur"),"")</t>
  </si>
  <si>
    <t>F:=IF(AND(INDEX(tbl_Neo_LijstVoeding,Var_Neo_InfB_Ent_Voeding,14)="MM",Var_Neo_Percentage_0 &gt; 0), CONCATENATE("Toev MM: BMF ",Var_Neo_Percentage_0," %"),"")</t>
  </si>
  <si>
    <t>F:=IF(AND(INDEX(tbl_Neo_LijstVoeding,Var_Neo_InfB_Ent_Voeding,14)="MM",Var_Neo_InfB_Ent_Toevoeging_1 &gt; 1,Var_Neo_Percentage_1 &gt; 0), CONCATENATE("Toev MM: ",INDEX(tbl_Neo_NutrMMToev,Var_Neo_InfB_Ent_Toevoeging_1,1)," ",Var_Neo_Percentage_1," %"),"")</t>
  </si>
  <si>
    <t>F:=IF(AND(INDEX(tbl_Neo_LijstVoeding,Var_Neo_InfB_Ent_Voeding,14)="MM",Var_Neo_InfB_Ent_Toevoeging_2 &gt; 1,Var_Neo_Percentage_2 &gt; 0), CONCATENATE("Toev MM: ",INDEX(tbl_Neo_NutrMMToev,Var_Neo_InfB_Ent_Toevoeging_2,1)," ",Var_Neo_Percentage_2," %"),"")</t>
  </si>
  <si>
    <t>F:=IF(AND(INDEX(tbl_Neo_LijstVoeding,Var_Neo_InfB_Ent_Voeding,14)="MM",Var_Neo_InfB_Ent_Toevoeging_3 &gt; 1,Var_Neo_Percentage_3 &gt; 0), CONCATENATE("Toev MM: ",INDEX(tbl_Neo_NutrMMToev,Var_Neo_InfB_Ent_Toevoeging_3,1)," ",Var_Neo_Percentage_3," %"),"")</t>
  </si>
  <si>
    <t>F:=IF(AND(INDEX(tbl_Neo_LijstVoeding,Var_Neo_InfB_Ent_Voeding,14)="MM",Var_Neo_InfB_Ent_Toevoeging_4 &gt; 1,Var_Neo_Percentage_4 &gt; 0), CONCATENATE("Toev MM: ",INDEX(tbl_Neo_NutrMMToev,Var_Neo_InfB_Ent_Toevoeging_4,1)," ",Var_Neo_Percentage_4," %"),"")</t>
  </si>
  <si>
    <t>F:=IF(AND(INDEX(tbl_Neo_LijstVoeding,Var_Neo_InfB_Ent_Voeding,14)="KV",Var_Neo_InfB_Ent_Toevoeging_5 &gt; 1,Var_Neo_Percentage_5 &gt; 0), CONCATENATE("Toev KV: ",INDEX(tbl_Neo_NutrKunstToev,Var_Neo_InfB_Ent_Toevoeging_5,1)," ",Var_Neo_Percentage_5," %"),"")</t>
  </si>
  <si>
    <t>F:=IF(AND(INDEX(tbl_Neo_LijstVoeding,Var_Neo_InfB_Ent_Voeding,14)="KV",Var_Neo_InfB_Ent_Toevoeging_6 &gt; 1,Var_Neo_Percentage_6 &gt; 0), CONCATENATE("Toev KV: ",INDEX(tbl_Neo_NutrKunstToev,Var_Neo_InfB_Ent_Toevoeging_6,1)," ",Var_Neo_Percentage_6," %"),"")</t>
  </si>
  <si>
    <t>F:=IF(AND(INDEX(tbl_Neo_LijstVoeding,Var_Neo_InfB_Ent_Voeding,14)="KV",Var_Neo_InfB_Ent_Toevoeging_7 &gt; 1,Var_Neo_Percentage_7 &gt; 0), CONCATENATE("Toev KV: ",INDEX(tbl_Neo_NutrKunstToev,Var_Neo_InfB_Ent_Toevoeging_7,1)," ",Var_Neo_Percentage_7," %"),"")</t>
  </si>
  <si>
    <t>F:=IF(AND(INDEX(tbl_Neo_LijstVoeding,Var_Neo_InfB_Ent_Voeding,14)="KV",Var_Neo_InfB_Ent_Toevoeging_8 &gt; 1,Var_Neo_Percentage_8 &gt; 0), CONCATENATE("Toev KV: ",INDEX(tbl_Neo_NutrKunstToev,Var_Neo_InfB_Ent_Toevoeging_8,1)," ",Var_Neo_Percentage_8," %"),"")</t>
  </si>
  <si>
    <t>Var_Neo_InfB_Cont_ArtLijn</t>
  </si>
  <si>
    <t>Var_Neo_InfB_Cont_MedKeuze_1</t>
  </si>
  <si>
    <t>Var_Neo_InfB_Cont_MedKeuze_2</t>
  </si>
  <si>
    <t>Var_Neo_InfB_Cont_MedKeuze_3</t>
  </si>
  <si>
    <t>Var_Neo_InfB_Cont_MedKeuze_4</t>
  </si>
  <si>
    <t>Var_Neo_InfB_Cont_MedKeuze_5</t>
  </si>
  <si>
    <t>Var_Neo_InfB_Cont_MedKeuze_6</t>
  </si>
  <si>
    <t>Var_Neo_InfB_Cont_MedKeuze_7</t>
  </si>
  <si>
    <t>Var_Neo_InfB_Cont_MedKeuze_8</t>
  </si>
  <si>
    <t>Var_Neo_InfB_Cont_MedKeuze_9</t>
  </si>
  <si>
    <t>Var_Neo_InfB_Cont_MedSterkte_1</t>
  </si>
  <si>
    <t>Var_Neo_InfB_Cont_MedSterkte_2</t>
  </si>
  <si>
    <t>Var_Neo_InfB_Cont_MedSterkte_3</t>
  </si>
  <si>
    <t>Var_Neo_InfB_Cont_MedSterkte_4</t>
  </si>
  <si>
    <t>Var_Neo_InfB_Cont_MedSterkte_5</t>
  </si>
  <si>
    <t>Var_Neo_InfB_Cont_MedSterkte_6</t>
  </si>
  <si>
    <t>Var_Neo_InfB_Cont_MedSterkte_7</t>
  </si>
  <si>
    <t>Var_Neo_InfB_Cont_MedSterkte_8</t>
  </si>
  <si>
    <t>Var_Neo_InfB_Cont_MedSterkte_9</t>
  </si>
  <si>
    <t>Var_Neo_InfB_Cont_MedTekst_1</t>
  </si>
  <si>
    <t>Var_Neo_InfB_Cont_MedTekst_2</t>
  </si>
  <si>
    <t>Var_Neo_InfB_Cont_OplHoev_1</t>
  </si>
  <si>
    <t>Var_Neo_InfB_Cont_OplHoev_2</t>
  </si>
  <si>
    <t>Var_Neo_InfB_Cont_OplHoev_3</t>
  </si>
  <si>
    <t>Var_Neo_InfB_Cont_OplHoev_4</t>
  </si>
  <si>
    <t>Var_Neo_InfB_Cont_OplHoev_5</t>
  </si>
  <si>
    <t>Var_Neo_InfB_Cont_OplHoev_6</t>
  </si>
  <si>
    <t>Var_Neo_InfB_Cont_OplHoev_7</t>
  </si>
  <si>
    <t>Var_Neo_InfB_Cont_OplHoev_8</t>
  </si>
  <si>
    <t>Var_Neo_InfB_Cont_OplHoev_9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</si>
  <si>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</si>
  <si>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</si>
  <si>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</si>
  <si>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</si>
  <si>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</si>
  <si>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</si>
  <si>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</si>
  <si>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</si>
  <si>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</si>
  <si>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</si>
  <si>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</si>
  <si>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</si>
  <si>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</si>
  <si>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</si>
  <si>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</si>
  <si>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</si>
  <si>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</si>
  <si>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</si>
  <si>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</si>
  <si>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</si>
  <si>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</si>
  <si>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</si>
  <si>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</si>
  <si>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</si>
  <si>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</si>
  <si>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</si>
  <si>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</si>
  <si>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</si>
  <si>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</si>
  <si>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</si>
  <si>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</si>
  <si>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</si>
  <si>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</si>
  <si>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</si>
  <si>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</si>
  <si>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</si>
  <si>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</si>
  <si>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</si>
  <si>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</si>
  <si>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</si>
  <si>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</si>
  <si>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</si>
  <si>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</si>
  <si>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</si>
  <si>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</si>
  <si>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</si>
  <si>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</si>
  <si>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</si>
  <si>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</si>
  <si>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</si>
  <si>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</si>
  <si>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</si>
  <si>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</si>
  <si>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</si>
  <si>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</si>
  <si>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</si>
  <si>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</si>
  <si>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</si>
  <si>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</si>
  <si>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</si>
  <si>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</si>
  <si>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</si>
  <si>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</si>
  <si>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</si>
  <si>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</si>
  <si>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</si>
  <si>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</si>
  <si>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</si>
  <si>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</si>
  <si>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</si>
  <si>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</si>
  <si>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</si>
  <si>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</si>
  <si>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</si>
  <si>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</si>
  <si>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PatData!$A$1:$P$631</t>
  </si>
  <si>
    <t>PatData!$A$1:$B$763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</si>
  <si>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</si>
  <si>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</si>
  <si>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</si>
  <si>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</si>
  <si>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</si>
  <si>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</si>
  <si>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</si>
  <si>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</si>
  <si>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</si>
  <si>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Ingredienten per 1 gram</t>
  </si>
  <si>
    <t>Tbl_Ped_Voeding</t>
  </si>
  <si>
    <t>Tlb_Ped_Poeder</t>
  </si>
  <si>
    <t>Tbl_Glob_BerVoeding</t>
  </si>
  <si>
    <t>Tbl_Glob_BerPoeder</t>
  </si>
  <si>
    <t>Tbl_Neo_Voed</t>
  </si>
  <si>
    <t>Tb_Neo_PoedMM</t>
  </si>
  <si>
    <t>Energy</t>
  </si>
  <si>
    <t>Tbl_Neo_PoedKV</t>
  </si>
  <si>
    <t>glucose 12,5 %</t>
  </si>
  <si>
    <t>glucose 17,5%</t>
  </si>
  <si>
    <t>glucose 5% + NaCl 0,45%</t>
  </si>
  <si>
    <t>glucose 5% + NaCl 0,9%</t>
  </si>
  <si>
    <t>Tot</t>
  </si>
  <si>
    <t>Per Kg</t>
  </si>
  <si>
    <t>Tbl_Glob_Conversie</t>
  </si>
  <si>
    <t>Tbl_Glob_ParEnt</t>
  </si>
  <si>
    <t>Tbl_Ped_TPN</t>
  </si>
  <si>
    <t>Tbl_Ped_SST</t>
  </si>
  <si>
    <t>Speciale Voeding</t>
  </si>
  <si>
    <t>tblVoedingBasisLijst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</si>
  <si>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</si>
  <si>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</si>
  <si>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</si>
  <si>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</si>
  <si>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</si>
  <si>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</si>
  <si>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</si>
  <si>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</si>
  <si>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</si>
  <si>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</si>
  <si>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</si>
  <si>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</si>
  <si>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</si>
  <si>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</si>
  <si>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</si>
  <si>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</si>
  <si>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</si>
  <si>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</si>
  <si>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</si>
  <si>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</si>
  <si>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</si>
  <si>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</si>
  <si>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</si>
  <si>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</si>
  <si>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</si>
  <si>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</si>
  <si>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</si>
  <si>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</si>
  <si>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</si>
  <si>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</si>
  <si>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</si>
  <si>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</si>
  <si>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</si>
  <si>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</si>
  <si>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</si>
  <si>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</si>
  <si>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</si>
  <si>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</si>
  <si>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</si>
  <si>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</si>
  <si>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</si>
  <si>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</si>
  <si>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</si>
  <si>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</si>
  <si>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</si>
  <si>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</si>
  <si>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</si>
  <si>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</si>
  <si>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</si>
  <si>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</si>
  <si>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</si>
  <si>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</si>
  <si>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</si>
  <si>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</si>
  <si>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</si>
  <si>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</si>
  <si>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</si>
  <si>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</si>
  <si>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</si>
  <si>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</si>
  <si>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</si>
  <si>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PedBerEnt!$B$3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</si>
  <si>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</si>
  <si>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</si>
  <si>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</si>
  <si>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</si>
  <si>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</si>
  <si>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</si>
  <si>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</si>
  <si>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PedBerEnt!$B$8</t>
  </si>
  <si>
    <t>PedBerEnt!$G$3</t>
  </si>
  <si>
    <t>PedBerEnt!$C$3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</si>
  <si>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</si>
  <si>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</si>
  <si>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</si>
  <si>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</si>
  <si>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</si>
  <si>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</si>
  <si>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</si>
  <si>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</si>
  <si>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</si>
  <si>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</si>
  <si>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</si>
  <si>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</si>
  <si>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</si>
  <si>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</si>
  <si>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</si>
  <si>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</si>
  <si>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</si>
  <si>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</si>
  <si>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</si>
  <si>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</si>
  <si>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</si>
  <si>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</si>
  <si>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</si>
  <si>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</si>
  <si>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</si>
  <si>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</si>
  <si>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</si>
  <si>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</si>
  <si>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</si>
  <si>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</si>
  <si>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</si>
  <si>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</si>
  <si>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</si>
  <si>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</si>
  <si>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</si>
  <si>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</si>
  <si>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</si>
  <si>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</si>
  <si>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</si>
  <si>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</si>
  <si>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</si>
  <si>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</si>
  <si>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</si>
  <si>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</si>
  <si>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</si>
  <si>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</si>
  <si>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PedBerMedIV!$C$28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</si>
  <si>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</si>
  <si>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</si>
  <si>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</si>
  <si>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</si>
  <si>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</si>
  <si>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</si>
  <si>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</si>
  <si>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</si>
  <si>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</si>
  <si>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</si>
  <si>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</si>
  <si>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</si>
  <si>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</si>
  <si>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</si>
  <si>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</si>
  <si>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</si>
  <si>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</si>
  <si>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</si>
  <si>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</si>
  <si>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</si>
  <si>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</si>
  <si>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</si>
  <si>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</si>
  <si>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</si>
  <si>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</si>
  <si>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</si>
  <si>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</si>
  <si>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GlobTblParEnt!$A$5:$M$41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</si>
  <si>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</si>
  <si>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</si>
  <si>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</si>
  <si>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</si>
  <si>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</si>
  <si>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</si>
  <si>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</si>
  <si>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</si>
  <si>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PedTblMedIV!$B$4:$Y$35</t>
  </si>
  <si>
    <t>PedTblEnt!$D$33:$Q$56</t>
  </si>
  <si>
    <t>Tbl_Ped_Poeder</t>
  </si>
  <si>
    <t>PedTblParEnt!$A$12:$M$26</t>
  </si>
  <si>
    <t>PedTblParEnt!$A$4:$M$10</t>
  </si>
  <si>
    <t>PedTblEnt!$D$4:$Q$28</t>
  </si>
  <si>
    <t>PedTblMedIV!$AA$4:$AA$7</t>
  </si>
  <si>
    <t>PedTblMedIV!$A$4:$B$35</t>
  </si>
  <si>
    <t>PedTblEnt!#REF!</t>
  </si>
  <si>
    <t>PedTblEnt!$A$2:$A$6</t>
  </si>
  <si>
    <t>GlobTblEnt!$A$2:$M$38</t>
  </si>
  <si>
    <t>GlobTblEnt!$A$44:$M$70</t>
  </si>
  <si>
    <t>F:=IF(NeoBerInfB!B16&gt;1,INDEX(Tbl_Neo_MedIV,NeoBerInfB!B16, 1)&amp;" "&amp;NeoGuiInfB!C32&amp;" "&amp;NeoGuiInfB!D32&amp;" "&amp; INDEX(tbl_Neo_Opl,NeoBerInfB!E16,1)&amp;" " &amp; NeoGuiInfB!G32&amp;" (="&amp;NeoGuiInfB!H32&amp;" "&amp;NeoGuiInfB!I32&amp;"), inlooptijd: "&amp;NeoGuiInfB!N32,"")</t>
  </si>
  <si>
    <t>F:=IF(NeoBerInfB!B17&gt;1,INDEX(Tbl_Neo_MedIV,NeoBerInfB!B17, 1)&amp;" "&amp;NeoGuiInfB!C33&amp;" "&amp;NeoGuiInfB!D33&amp;" "&amp; INDEX(tbl_Neo_Opl,NeoBerInfB!E17,1)&amp;" " &amp; NeoGuiInfB!G33&amp;" (="&amp;NeoGuiInfB!H33&amp;" "&amp;NeoGuiInfB!I33&amp;"), inlooptijd: "&amp;NeoGuiInfB!N33,"")</t>
  </si>
  <si>
    <t>F:=IF(NeoBerInfB!B18&gt;1,INDEX(Tbl_Neo_MedIV,NeoBerInfB!B18, 1)&amp;" "&amp;NeoGuiInfB!C34&amp;" "&amp;NeoGuiInfB!D34&amp;" "&amp; INDEX(tbl_Neo_Opl,NeoBerInfB!E18,1)&amp;" " &amp; NeoGuiInfB!G34&amp;" (="&amp;NeoGuiInfB!H34&amp;" "&amp;NeoGuiInfB!I34&amp;"), inlooptijd: "&amp;NeoGuiInfB!N34,"")</t>
  </si>
  <si>
    <t>F:=IF(NeoBerInfB!B19&gt;1,INDEX(Tbl_Neo_MedIV,NeoBerInfB!B19, 1)&amp;" "&amp;NeoGuiInfB!C35&amp;" "&amp;NeoGuiInfB!D35&amp;" "&amp; INDEX(tbl_Neo_Opl,NeoBerInfB!E19,1)&amp;" " &amp; NeoGuiInfB!G35&amp;" (="&amp;NeoGuiInfB!H35&amp;" "&amp;NeoGuiInfB!I35&amp;"), inlooptijd: "&amp;NeoGuiInfB!N35,"")</t>
  </si>
  <si>
    <t>F:=IF(NeoBerInfB!B20&gt;1,INDEX(Tbl_Neo_MedIV,NeoBerInfB!B20, 1)&amp;" "&amp;NeoGuiInfB!C36&amp;" "&amp;NeoGuiInfB!D36&amp;" "&amp; INDEX(tbl_Neo_Opl,NeoBerInfB!E20,1)&amp;" " &amp; NeoGuiInfB!G36&amp;" (="&amp;NeoGuiInfB!H36&amp;" "&amp;NeoGuiInfB!I36&amp;"), inlooptijd: "&amp;NeoGuiInfB!N36,"")</t>
  </si>
  <si>
    <t>F:=IF(NeoBerInfB!B21&gt;1,INDEX(Tbl_Neo_MedIV,NeoBerInfB!B21, 1)&amp;" "&amp;NeoGuiInfB!C37&amp;" "&amp;NeoGuiInfB!D37&amp;" "&amp; INDEX(tbl_Neo_Opl,NeoBerInfB!E21,1)&amp;" " &amp; NeoGuiInfB!G37&amp;" (="&amp;NeoGuiInfB!H37&amp;" "&amp;NeoGuiInfB!I37&amp;"), inlooptijd: "&amp;NeoGuiInfB!N37,"")</t>
  </si>
  <si>
    <t>F:=IF(NeoBerInfB!B22&gt;1,INDEX(Tbl_Neo_MedIV,NeoBerInfB!B22, 1)&amp;" "&amp;NeoGuiInfB!C38&amp;" "&amp;NeoGuiInfB!D38&amp;" "&amp; INDEX(tbl_Neo_Opl,NeoBerInfB!E22,1)&amp;" " &amp; NeoGuiInfB!G38&amp;" (="&amp;NeoGuiInfB!H38&amp;" "&amp;NeoGuiInfB!I38&amp;"), inlooptijd: "&amp;NeoGuiInfB!N38,"")</t>
  </si>
  <si>
    <t>F:=IF(NeoBerInfB!B23&gt;1,INDEX(Tbl_Neo_MedIV,NeoBerInfB!B23, 1)&amp;" "&amp;NeoGuiInfB!C39&amp;" "&amp;NeoGuiInfB!D39&amp;" "&amp; INDEX(tbl_Neo_Opl,NeoBerInfB!E23,1)&amp;" " &amp; NeoGuiInfB!G39&amp;" (="&amp;NeoGuiInfB!H39&amp;" "&amp;NeoGuiInfB!I39&amp;"), inlooptijd: "&amp;NeoGuiInfB!N39,"")</t>
  </si>
  <si>
    <t>F:=IF(NeoBerInfB!B24&gt;1,INDEX(Tbl_Neo_MedIV,NeoBerInfB!B24, 1)&amp;" "&amp;NeoGuiInfB!C40&amp;" "&amp;NeoGuiInfB!D40&amp;" "&amp; INDEX(tbl_Neo_Opl,NeoBerInfB!E24,1)&amp;" " &amp; NeoGuiInfB!G40&amp;" (="&amp;NeoGuiInfB!H40&amp;" "&amp;NeoGuiInfB!I40&amp;"), inlooptijd: "&amp;NeoGuiInfB!N40,"")</t>
  </si>
  <si>
    <t>NeoBerInfB!$B$88</t>
  </si>
  <si>
    <t>F:=IF(NeoBerInfB!E25&lt;&gt;0, NeoGuiInfB!B42&amp;": "&amp; INDEX(tbl_Neo_Opl,NeoBerInfB!$E25,1)&amp;" " &amp; NeoGuiInfB!G42,"")</t>
  </si>
  <si>
    <t>NeoBerInfB!$B$89</t>
  </si>
  <si>
    <t>F:=IF(NeoBerInfB!E26&lt;&gt;0, NeoGuiInfB!B43&amp;": "&amp; INDEX(tbl_Neo_Opl,NeoBerInfB!$E26,1)&amp;" " &amp; NeoGuiInfB!G43,"")</t>
  </si>
  <si>
    <t>F:=IF(NeoBerInfB!E27&lt;&gt;0, NeoGuiInfB!B44&amp;": "&amp; INDEX(tbl_Neo_Opl,NeoBerInfB!$E27,1)&amp;" " &amp; NeoGuiInfB!G44,"")</t>
  </si>
  <si>
    <t>F:=IF(NeoBerInfB!B28="","",NeoBerInfB!B28)</t>
  </si>
  <si>
    <t>F:=IF(NeoBerInfB!B29="","",NeoBerInfB!B29)</t>
  </si>
  <si>
    <t>F:=IF(NeoBerInfB!C31&lt;&gt;0,CONCATENATE("Intralipid 20% (incl.vitintra) ",ROUNDUP(NeoBerInfB!C31/24,1)," ml/uur"),"")</t>
  </si>
  <si>
    <t>NeoBerInfB!$B$62</t>
  </si>
  <si>
    <t>F:=IF(NeoGuiInfB!E18=0,"",CONCATENATE(NeoGuiInfB!B18,": ",NeoGuiInfB!E18," ",NeoGuiInfB!F18," = "&amp;NeoBerInfB!J43&amp;" ml"))</t>
  </si>
  <si>
    <t>NeoBerInfB!$B$63</t>
  </si>
  <si>
    <t>F:=IF(INDEX(tbl_Neo_Pos,NeoBerInfB!D10,1)=0,"",CONCATENATE(NeoGuiInfB!H21," ",INDEX(tbl_Neo_Pos,NeoBerInfB!D10,1)))</t>
  </si>
  <si>
    <t>NeoBerInfB!$B$64</t>
  </si>
  <si>
    <t>F:=IF(INDEX(tbl_Neo_Pos,NeoBerInfB!D10,1)=0,"",CONCATENATE("Hoeveelheid 1:  ",NeoGuiInfB!E21," ",NeoGuiInfB!F21," ",NeoGuiInfB!G21))</t>
  </si>
  <si>
    <t>NeoBerInfB!$B$65</t>
  </si>
  <si>
    <t>F:=IF(INDEX(tbl_Neo_Pos,NeoBerInfB!D10,1)=0,"",CONCATENATE("Hoeveelheid 2:  ",NeoGuiInfB!E22," ",NeoGuiInfB!F22," ",NeoGuiInfB!G22))</t>
  </si>
  <si>
    <t>NeoBerInfB!$B$66</t>
  </si>
  <si>
    <t>NeoBerInfB!$B$67</t>
  </si>
  <si>
    <t>NeoBerInfB!$B$68</t>
  </si>
  <si>
    <t>NeoBerInfB!$B$69</t>
  </si>
  <si>
    <t>NeoBerInfB!$B$70</t>
  </si>
  <si>
    <t>NeoBerInfB!$B$71</t>
  </si>
  <si>
    <t>NeoBerInfB!$B$72</t>
  </si>
  <si>
    <t>F:=CONCATENATE(NeoGuiInfB!B19,": ",IF(NeoBerInfB!B11=1,"Ja","Nee"))</t>
  </si>
  <si>
    <t>F:=IF(NeoBerInfB!B14&gt;0,(24*NeoBerInfB!B14/10-M6)*10,"")</t>
  </si>
  <si>
    <t>F:=IF(24*NeoBerInfB!B14&gt;0,TRUNC(24*NeoBerInfB!B14/10),"")</t>
  </si>
  <si>
    <t>F:=IF(NeoBerInfB!$J$35&gt;0,IF(_Neo_1700_TPN_DagKeuze=1,NeoBerInfB!$C$35-M10,0),"")</t>
  </si>
  <si>
    <t>F:=IF(NeoBerInfB!$J$35&gt;0,TRUNC(NeoBerInfB!$C$35),"")</t>
  </si>
  <si>
    <t>F:=IF(NeoBerInfB!$J$41&gt;0,(NeoBerInfB!$J$41-M16)*100,"")</t>
  </si>
  <si>
    <t>F:=IF(NeoBerInfB!$J$41&gt;0,TRUNC(NeoBerInfB!$J$41),"")</t>
  </si>
  <si>
    <t>F:=INDEX(tbl_Neo_Opl,NeoBerInfB!D41+1,1)</t>
  </si>
  <si>
    <t>F:=IF(NeoBerInfB!$J$34&gt;0,IF(_Neo_1700_TPN_DagKeuze&lt;&gt;2,(NeoBerInfB!$C$34-M9)*100,0),"")</t>
  </si>
  <si>
    <t>F:=IF(NeoBerInfB!$J$34&gt;0,IF(_Neo_1700_TPN_DagKeuze&lt;&gt;2,TRUNC(NeoBerInfB!$C$34),0),"")</t>
  </si>
  <si>
    <t>F:=IF(NeoBerInfB!$J$36&gt;0,IF(_Neo_1700_TPN_DagKeuze=1,(NeoBerInfB!$C$36-M11)*100,0),"")</t>
  </si>
  <si>
    <t>F:=IF(NeoBerInfB!$J$36&gt;0,TRUNC(NeoBerInfB!$C$36),"")</t>
  </si>
  <si>
    <t>F:=IF(NeoBerInfB!$J$33&gt;0,IF(_Neo_1700_TPN_DagKeuze&lt;&gt;2,(NeoBerInfB!$C$33-M8)*100,0),"")</t>
  </si>
  <si>
    <t>F:=IF(NeoBerInfB!$J$33&gt;0,IF(Var_Neo_InfB_TPN_DagKeuze&lt;&gt;2,TRUNC(NeoBerInfB!$C$33),0),"")</t>
  </si>
  <si>
    <t>F:=IF(Var_Neo_InfB_TPN_DagKeuze=2,(NeoBerInfB!$C$39-M14)*100,"")</t>
  </si>
  <si>
    <t>F:=IF(Var_Neo_InfB_TPN_DagKeuze=2,TRUNC(NeoBerInfB!$C$39),"")</t>
  </si>
  <si>
    <t>F:=IF(NeoBerInfB!$J$38&gt;0,IF(_Neo_1700_TPN_DagKeuze&lt;&gt;1,(NeoBerInfB!$C$38-M13)*100,0),"")</t>
  </si>
  <si>
    <t>F:=IF(NeoBerInfB!$J$38&gt;0,TRUNC(NeoBerInfB!$C$38),"")</t>
  </si>
  <si>
    <t>F:=IF(Var_Neo_InfB_TPN_DagKeuze=3,(NeoBerInfB!$C$40-M15)*100,"")</t>
  </si>
  <si>
    <t>F:=IF(Var_Neo_InfB_TPN_DagKeuze=3,TRUNC(NeoBerInfB!$C$40),"")</t>
  </si>
  <si>
    <t>F:=IF(NeoBerInfB!$J$37&gt;0,IF(_Neo_1700_TPN_DagKeuze=1,(NeoBerInfB!$C$37-M12)*100,0),"")</t>
  </si>
  <si>
    <t>F:=IF(NeoBerInfB!$J$37&gt;0,TRUNC(NeoBerInfB!$C$37),"")</t>
  </si>
  <si>
    <t>PatDetails!$B$14</t>
  </si>
  <si>
    <t>NeoBerInfB!$B$3</t>
  </si>
  <si>
    <t>F:=TODAY()-__4_GebDatum+1</t>
  </si>
  <si>
    <t>NeoBerInfB!$B$14</t>
  </si>
  <si>
    <t>NeoBerInfB!$B$16</t>
  </si>
  <si>
    <t>NeoBerInfB!$B$19</t>
  </si>
  <si>
    <t>NeoBerInfB!$C$16</t>
  </si>
  <si>
    <t>NeoBerInfB!$C$17</t>
  </si>
  <si>
    <t>NeoBerInfB!$C$18</t>
  </si>
  <si>
    <t>NeoBerInfB!$C$19</t>
  </si>
  <si>
    <t>NeoBerInfB!$B$29</t>
  </si>
  <si>
    <t>NeoBerInfB!$D$17</t>
  </si>
  <si>
    <t>NeoBerInfB!$D$18</t>
  </si>
  <si>
    <t>NeoBerInfB!$D$19</t>
  </si>
  <si>
    <t>NeoBerInfB!$E$16</t>
  </si>
  <si>
    <t>NeoBerInfB!$E$17</t>
  </si>
  <si>
    <t>NeoBerInfB!$E$18</t>
  </si>
  <si>
    <t>NeoBerInfB!$E$19</t>
  </si>
  <si>
    <t>NeoBerInfB!$F$16</t>
  </si>
  <si>
    <t>NeoBerInfB!$F$17</t>
  </si>
  <si>
    <t>NeoBerInfB!$F$18</t>
  </si>
  <si>
    <t>NeoBerInfB!$F$19</t>
  </si>
  <si>
    <t>NeoBerInfB!$I$10</t>
  </si>
  <si>
    <t>NeoBerInfB!$I$16</t>
  </si>
  <si>
    <t>NeoBerInfB!$I$17</t>
  </si>
  <si>
    <t>NeoBerInfB!$I$18</t>
  </si>
  <si>
    <t>NeoBerInfB!$I$19</t>
  </si>
  <si>
    <t>NeoBerInfB!$I$20</t>
  </si>
  <si>
    <t>NeoBerInfB!$I$21</t>
  </si>
  <si>
    <t>NeoBerInfB!$I$22</t>
  </si>
  <si>
    <t>NeoBerInfB!$I$23</t>
  </si>
  <si>
    <t>NeoBerInfB!$I$24</t>
  </si>
  <si>
    <t>NeoBerInfB!$I$14</t>
  </si>
  <si>
    <t>NeoBerInfB!$I$25</t>
  </si>
  <si>
    <t>NeoBerInfB!$I$26</t>
  </si>
  <si>
    <t>NeoBerInfB!$I$27</t>
  </si>
  <si>
    <t>NeoBerInfB!$D$6</t>
  </si>
  <si>
    <t>NeoBerInfB!$D$8</t>
  </si>
  <si>
    <t>NeoBerInfB!$D$7</t>
  </si>
  <si>
    <t>NeoBerInfB!$D$9</t>
  </si>
  <si>
    <t>NeoBerInfB!$I$48</t>
  </si>
  <si>
    <t>NeoBerInfB!$I$49</t>
  </si>
  <si>
    <t>NeoBerInfB!$I$50</t>
  </si>
  <si>
    <t>NeoBerInfB!$I$51</t>
  </si>
  <si>
    <t>NeoBerInfB!$I$52</t>
  </si>
  <si>
    <t>NeoBerInfB!$I$54</t>
  </si>
  <si>
    <t>NeoBerInfB!$I$55</t>
  </si>
  <si>
    <t>NeoBerInfB!$I$56</t>
  </si>
  <si>
    <t>NeoBerInfB!$I$57</t>
  </si>
  <si>
    <t>NeoBerInfB!$B$49</t>
  </si>
  <si>
    <t>NeoBerInfB!$B$50</t>
  </si>
  <si>
    <t>NeoBerInfB!$B$51</t>
  </si>
  <si>
    <t>NeoBerInfB!$B$52</t>
  </si>
  <si>
    <t>NeoBerInfB!$B$57</t>
  </si>
  <si>
    <t>NeoBerInfB!$D$32</t>
  </si>
  <si>
    <t>NeoBerInfB!$B$11</t>
  </si>
  <si>
    <t>NeoBerInfB!$D$31</t>
  </si>
  <si>
    <t>NeoBerInfB!$D$34</t>
  </si>
  <si>
    <t>NeoBerInfB!$D$33</t>
  </si>
  <si>
    <t>NeoBerInfB!$B$13</t>
  </si>
  <si>
    <t>NeoBerInfB!$J$48</t>
  </si>
  <si>
    <t>F:=INDEX(tbl_Neo_NutrBMFWaard,NeoBerInfB!I48)</t>
  </si>
  <si>
    <t>NeoBerInfB!$J$49</t>
  </si>
  <si>
    <t>F:=INDEX(tbl_Neo_NutrToevWaard,NeoBerInfB!I49)</t>
  </si>
  <si>
    <t>NeoBerInfB!$J$50</t>
  </si>
  <si>
    <t>F:=INDEX(tbl_Neo_NutrToevWaard,NeoBerInfB!I50)</t>
  </si>
  <si>
    <t>NeoBerInfB!$J$51</t>
  </si>
  <si>
    <t>F:=INDEX(tbl_Neo_NutrToevWaard,NeoBerInfB!I51)</t>
  </si>
  <si>
    <t>F:=INDEX(tbl_Neo_NutrToevWaard,NeoBerInfB!I52)</t>
  </si>
  <si>
    <t>F:=INDEX(tbl_Neo_NutrToevWaard,NeoBerInfB!I54)</t>
  </si>
  <si>
    <t>F:=INDEX(tbl_Neo_NutrToevWaard,NeoBerInfB!I55)</t>
  </si>
  <si>
    <t>F:=INDEX(tbl_Neo_NutrToevWaard,NeoBerInfB!I56)</t>
  </si>
  <si>
    <t>NeoBerInfB!$J$57</t>
  </si>
  <si>
    <t>F:=INDEX(tbl_Neo_NutrToevWaard,NeoBerInfB!I57)</t>
  </si>
  <si>
    <t>PatDetails!$B$15</t>
  </si>
  <si>
    <t>F:=IF(IsEmptyDate(_Pat_OpnDatum),"",DateToString(_Pat_OpnDatum)&amp;" "&amp;B22)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</si>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</sst>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20"/>
      <color theme="0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</fills>
  <borders count="11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theme="0" tint="-4.9989318521683403E-2"/>
      </left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rgb="FFF2F2F2"/>
      </right>
      <top/>
      <bottom/>
      <diagonal/>
    </border>
    <border>
      <left style="thick">
        <color rgb="FFF2F2F2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/>
      <top/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/>
      <top style="thick">
        <color rgb="FFF2F2F2"/>
      </top>
      <bottom style="thick">
        <color theme="0" tint="-4.9989318521683403E-2"/>
      </bottom>
      <diagonal/>
    </border>
    <border>
      <left/>
      <right/>
      <top/>
      <bottom style="thin">
        <color rgb="FFF2F2F2"/>
      </bottom>
      <diagonal/>
    </border>
    <border>
      <left/>
      <right/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/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/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/>
      <top style="medium">
        <color indexed="2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/>
      <top style="thick">
        <color rgb="FFF2F2F2"/>
      </top>
      <bottom style="medium">
        <color indexed="22"/>
      </bottom>
      <diagonal/>
    </border>
    <border>
      <left/>
      <right/>
      <top/>
      <bottom style="thick">
        <color rgb="FFF2F2F2"/>
      </bottom>
      <diagonal/>
    </border>
    <border>
      <left/>
      <right/>
      <top style="thick">
        <color rgb="FFF2F2F2"/>
      </top>
      <bottom style="thick">
        <color theme="0" tint="-4.9989318521683403E-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208">
    <xf numFmtId="0" fontId="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35" fillId="3" borderId="0" applyNumberFormat="0" applyBorder="0" applyAlignment="0" applyProtection="0"/>
    <xf numFmtId="0" fontId="36" fillId="20" borderId="1" applyNumberFormat="0" applyAlignment="0" applyProtection="0"/>
    <xf numFmtId="0" fontId="37" fillId="21" borderId="2" applyNumberFormat="0" applyAlignment="0" applyProtection="0"/>
    <xf numFmtId="0" fontId="38" fillId="0" borderId="0" applyNumberFormat="0" applyFill="0" applyBorder="0" applyAlignment="0" applyProtection="0"/>
    <xf numFmtId="0" fontId="39" fillId="4" borderId="0" applyNumberFormat="0" applyBorder="0" applyAlignment="0" applyProtection="0"/>
    <xf numFmtId="0" fontId="40" fillId="0" borderId="3" applyNumberFormat="0" applyFill="0" applyAlignment="0" applyProtection="0"/>
    <xf numFmtId="0" fontId="41" fillId="0" borderId="4" applyNumberFormat="0" applyFill="0" applyAlignment="0" applyProtection="0"/>
    <xf numFmtId="0" fontId="42" fillId="0" borderId="5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1" applyNumberFormat="0" applyAlignment="0" applyProtection="0"/>
    <xf numFmtId="0" fontId="44" fillId="0" borderId="6" applyNumberFormat="0" applyFill="0" applyAlignment="0" applyProtection="0"/>
    <xf numFmtId="0" fontId="45" fillId="22" borderId="0" applyNumberFormat="0" applyBorder="0" applyAlignment="0" applyProtection="0"/>
    <xf numFmtId="0" fontId="10" fillId="23" borderId="7" applyNumberFormat="0" applyFont="0" applyAlignment="0" applyProtection="0"/>
    <xf numFmtId="0" fontId="46" fillId="20" borderId="8" applyNumberFormat="0" applyAlignment="0" applyProtection="0"/>
    <xf numFmtId="0" fontId="47" fillId="0" borderId="0" applyNumberFormat="0" applyFill="0" applyBorder="0" applyAlignment="0" applyProtection="0"/>
    <xf numFmtId="0" fontId="48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7">
    <xf numFmtId="0" fontId="0" fillId="0" borderId="0" xfId="0"/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0" fontId="12" fillId="0" borderId="0" xfId="0" applyFont="1" applyAlignment="1">
      <alignment horizontal="center"/>
    </xf>
    <xf numFmtId="0" fontId="21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3" fillId="0" borderId="7" xfId="0" quotePrefix="1" applyNumberFormat="1" applyFont="1" applyBorder="1"/>
    <xf numFmtId="0" fontId="20" fillId="0" borderId="7" xfId="0" applyFont="1" applyBorder="1"/>
    <xf numFmtId="0" fontId="20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0" fontId="20" fillId="0" borderId="7" xfId="0" quotePrefix="1" applyNumberFormat="1" applyFont="1" applyBorder="1"/>
    <xf numFmtId="0" fontId="20" fillId="0" borderId="0" xfId="0" quotePrefix="1" applyNumberFormat="1" applyFont="1" applyBorder="1"/>
    <xf numFmtId="0" fontId="20" fillId="0" borderId="7" xfId="0" applyNumberFormat="1" applyFont="1" applyBorder="1"/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2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6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6" fillId="0" borderId="22" xfId="0" applyFont="1" applyBorder="1" applyAlignment="1">
      <alignment vertical="top" wrapText="1"/>
    </xf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6" fillId="0" borderId="16" xfId="0" applyFont="1" applyBorder="1" applyAlignment="1">
      <alignment vertical="center" wrapText="1"/>
    </xf>
    <xf numFmtId="0" fontId="26" fillId="0" borderId="23" xfId="0" applyFont="1" applyBorder="1" applyAlignment="1">
      <alignment vertical="center" wrapText="1"/>
    </xf>
    <xf numFmtId="0" fontId="26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6" fillId="0" borderId="14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26" fillId="0" borderId="15" xfId="0" applyFont="1" applyBorder="1" applyAlignment="1">
      <alignment vertical="center" wrapText="1"/>
    </xf>
    <xf numFmtId="0" fontId="26" fillId="0" borderId="10" xfId="0" applyFont="1" applyBorder="1" applyAlignment="1">
      <alignment vertical="center"/>
    </xf>
    <xf numFmtId="0" fontId="26" fillId="0" borderId="16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6" fillId="0" borderId="23" xfId="0" applyFont="1" applyBorder="1" applyAlignment="1">
      <alignment vertical="center"/>
    </xf>
    <xf numFmtId="0" fontId="26" fillId="0" borderId="17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1" fillId="0" borderId="23" xfId="0" applyFont="1" applyBorder="1" applyAlignment="1">
      <alignment horizontal="center" vertical="center" wrapText="1"/>
    </xf>
    <xf numFmtId="0" fontId="26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7" xfId="0" applyFont="1" applyFill="1" applyBorder="1" applyAlignment="1">
      <alignment wrapText="1"/>
    </xf>
    <xf numFmtId="0" fontId="18" fillId="25" borderId="32" xfId="0" applyFont="1" applyFill="1" applyBorder="1"/>
    <xf numFmtId="0" fontId="18" fillId="25" borderId="33" xfId="0" applyFont="1" applyFill="1" applyBorder="1"/>
    <xf numFmtId="0" fontId="18" fillId="25" borderId="34" xfId="0" applyFont="1" applyFill="1" applyBorder="1"/>
    <xf numFmtId="0" fontId="23" fillId="25" borderId="7" xfId="0" quotePrefix="1" applyNumberFormat="1" applyFont="1" applyFill="1" applyBorder="1"/>
    <xf numFmtId="0" fontId="23" fillId="25" borderId="35" xfId="0" quotePrefix="1" applyNumberFormat="1" applyFont="1" applyFill="1" applyBorder="1"/>
    <xf numFmtId="0" fontId="0" fillId="25" borderId="7" xfId="0" applyFill="1" applyBorder="1"/>
    <xf numFmtId="0" fontId="20" fillId="25" borderId="7" xfId="0" applyFont="1" applyFill="1" applyBorder="1"/>
    <xf numFmtId="16" fontId="20" fillId="25" borderId="7" xfId="0" applyNumberFormat="1" applyFont="1" applyFill="1" applyBorder="1" applyAlignment="1">
      <alignment horizontal="center" vertical="center" wrapText="1"/>
    </xf>
    <xf numFmtId="0" fontId="21" fillId="25" borderId="0" xfId="0" applyFont="1" applyFill="1" applyProtection="1"/>
    <xf numFmtId="0" fontId="21" fillId="25" borderId="0" xfId="0" applyFont="1" applyFill="1"/>
    <xf numFmtId="0" fontId="21" fillId="25" borderId="0" xfId="0" applyFont="1" applyFill="1" applyBorder="1" applyAlignment="1">
      <alignment horizontal="left"/>
    </xf>
    <xf numFmtId="15" fontId="12" fillId="25" borderId="0" xfId="0" applyNumberFormat="1" applyFont="1" applyFill="1" applyBorder="1" applyAlignment="1">
      <alignment horizontal="left"/>
    </xf>
    <xf numFmtId="0" fontId="21" fillId="25" borderId="0" xfId="0" applyFont="1" applyFill="1" applyBorder="1" applyAlignment="1"/>
    <xf numFmtId="15" fontId="12" fillId="25" borderId="0" xfId="0" applyNumberFormat="1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>
      <alignment horizontal="left"/>
    </xf>
    <xf numFmtId="0" fontId="21" fillId="25" borderId="0" xfId="0" applyFont="1" applyFill="1" applyBorder="1" applyProtection="1"/>
    <xf numFmtId="1" fontId="12" fillId="25" borderId="0" xfId="0" applyNumberFormat="1" applyFont="1" applyFill="1" applyBorder="1" applyAlignment="1">
      <alignment horizontal="left"/>
    </xf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31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9" fillId="25" borderId="0" xfId="0" applyFont="1" applyFill="1" applyBorder="1" applyProtection="1"/>
    <xf numFmtId="0" fontId="17" fillId="24" borderId="36" xfId="0" applyFont="1" applyFill="1" applyBorder="1" applyProtection="1"/>
    <xf numFmtId="0" fontId="12" fillId="0" borderId="36" xfId="0" applyFont="1" applyFill="1" applyBorder="1" applyProtection="1"/>
    <xf numFmtId="0" fontId="21" fillId="0" borderId="36" xfId="0" applyFont="1" applyFill="1" applyBorder="1" applyProtection="1"/>
    <xf numFmtId="0" fontId="17" fillId="24" borderId="37" xfId="0" applyFont="1" applyFill="1" applyBorder="1" applyProtection="1"/>
    <xf numFmtId="0" fontId="12" fillId="0" borderId="37" xfId="0" applyFont="1" applyFill="1" applyBorder="1" applyProtection="1"/>
    <xf numFmtId="0" fontId="21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5" fillId="0" borderId="33" xfId="0" applyFont="1" applyBorder="1" applyAlignment="1">
      <alignment vertical="top" wrapText="1"/>
    </xf>
    <xf numFmtId="0" fontId="20" fillId="0" borderId="33" xfId="0" applyFont="1" applyBorder="1" applyAlignment="1">
      <alignment horizontal="right" vertical="top" wrapText="1"/>
    </xf>
    <xf numFmtId="0" fontId="20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50" fillId="0" borderId="36" xfId="0" applyFont="1" applyFill="1" applyBorder="1" applyProtection="1"/>
    <xf numFmtId="0" fontId="50" fillId="0" borderId="0" xfId="0" applyFont="1" applyFill="1" applyBorder="1" applyProtection="1"/>
    <xf numFmtId="0" fontId="50" fillId="0" borderId="37" xfId="0" applyFont="1" applyFill="1" applyBorder="1" applyProtection="1"/>
    <xf numFmtId="0" fontId="50" fillId="0" borderId="0" xfId="0" applyFont="1" applyFill="1" applyProtection="1"/>
    <xf numFmtId="0" fontId="10" fillId="0" borderId="0" xfId="0" applyFont="1"/>
    <xf numFmtId="0" fontId="21" fillId="26" borderId="0" xfId="0" applyFont="1" applyFill="1" applyProtection="1"/>
    <xf numFmtId="0" fontId="11" fillId="26" borderId="0" xfId="0" applyFont="1" applyFill="1" applyProtection="1"/>
    <xf numFmtId="0" fontId="21" fillId="26" borderId="0" xfId="0" applyFont="1" applyFill="1" applyBorder="1" applyAlignment="1">
      <alignment horizontal="left"/>
    </xf>
    <xf numFmtId="15" fontId="12" fillId="26" borderId="0" xfId="0" applyNumberFormat="1" applyFont="1" applyFill="1" applyBorder="1" applyAlignment="1">
      <alignment horizontal="left"/>
    </xf>
    <xf numFmtId="0" fontId="21" fillId="26" borderId="0" xfId="0" applyFont="1" applyFill="1" applyBorder="1" applyAlignment="1"/>
    <xf numFmtId="15" fontId="12" fillId="26" borderId="0" xfId="0" applyNumberFormat="1" applyFont="1" applyFill="1" applyBorder="1" applyAlignment="1" applyProtection="1">
      <alignment horizontal="left"/>
      <protection locked="0"/>
    </xf>
    <xf numFmtId="0" fontId="21" fillId="26" borderId="0" xfId="0" applyFont="1" applyFill="1"/>
    <xf numFmtId="0" fontId="12" fillId="26" borderId="0" xfId="0" applyFont="1" applyFill="1" applyBorder="1" applyAlignment="1" applyProtection="1">
      <alignment horizontal="left"/>
      <protection locked="0"/>
    </xf>
    <xf numFmtId="0" fontId="12" fillId="26" borderId="0" xfId="0" applyFont="1" applyFill="1" applyBorder="1" applyAlignment="1">
      <alignment horizontal="left"/>
    </xf>
    <xf numFmtId="0" fontId="21" fillId="26" borderId="0" xfId="0" applyFont="1" applyFill="1" applyBorder="1" applyProtection="1"/>
    <xf numFmtId="1" fontId="12" fillId="26" borderId="0" xfId="0" applyNumberFormat="1" applyFont="1" applyFill="1" applyBorder="1" applyAlignment="1">
      <alignment horizontal="left"/>
    </xf>
    <xf numFmtId="0" fontId="16" fillId="26" borderId="0" xfId="0" applyFont="1" applyFill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4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5" fillId="0" borderId="0" xfId="42" applyFont="1" applyBorder="1"/>
    <xf numFmtId="0" fontId="10" fillId="0" borderId="0" xfId="42" applyBorder="1"/>
    <xf numFmtId="0" fontId="55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4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2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2" fillId="0" borderId="48" xfId="42" applyFont="1" applyBorder="1"/>
    <xf numFmtId="0" fontId="12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2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20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2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6" fillId="0" borderId="7" xfId="42" applyNumberFormat="1" applyFont="1" applyFill="1" applyBorder="1" applyAlignment="1">
      <alignment horizontal="right"/>
    </xf>
    <xf numFmtId="170" fontId="56" fillId="0" borderId="33" xfId="42" applyNumberFormat="1" applyFont="1" applyFill="1" applyBorder="1" applyAlignment="1">
      <alignment horizontal="right"/>
    </xf>
    <xf numFmtId="0" fontId="12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6" fillId="0" borderId="35" xfId="42" applyNumberFormat="1" applyFont="1" applyFill="1" applyBorder="1" applyAlignment="1">
      <alignment horizontal="right"/>
    </xf>
    <xf numFmtId="170" fontId="56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6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7" fillId="0" borderId="51" xfId="42" applyNumberFormat="1" applyFont="1" applyFill="1" applyBorder="1" applyAlignment="1">
      <alignment horizontal="right"/>
    </xf>
    <xf numFmtId="170" fontId="57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6" fillId="0" borderId="61" xfId="42" applyNumberFormat="1" applyFont="1" applyFill="1" applyBorder="1" applyAlignment="1">
      <alignment horizontal="right"/>
    </xf>
    <xf numFmtId="170" fontId="56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6" fillId="0" borderId="62" xfId="42" applyNumberFormat="1" applyFont="1" applyFill="1" applyBorder="1" applyAlignment="1">
      <alignment horizontal="right"/>
    </xf>
    <xf numFmtId="170" fontId="56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2" fillId="0" borderId="40" xfId="42" applyFont="1" applyFill="1" applyBorder="1"/>
    <xf numFmtId="0" fontId="58" fillId="0" borderId="0" xfId="42" applyFont="1" applyFill="1" applyBorder="1" applyAlignment="1">
      <alignment horizontal="right"/>
    </xf>
    <xf numFmtId="0" fontId="58" fillId="0" borderId="33" xfId="42" applyFont="1" applyFill="1" applyBorder="1" applyAlignment="1">
      <alignment horizontal="right"/>
    </xf>
    <xf numFmtId="0" fontId="54" fillId="0" borderId="32" xfId="42" applyFont="1" applyFill="1" applyBorder="1"/>
    <xf numFmtId="0" fontId="10" fillId="0" borderId="33" xfId="42" applyFill="1" applyBorder="1" applyAlignment="1">
      <alignment horizontal="right"/>
    </xf>
    <xf numFmtId="0" fontId="58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9" fillId="0" borderId="0" xfId="42" applyFont="1"/>
    <xf numFmtId="0" fontId="12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2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60" fillId="25" borderId="61" xfId="42" applyNumberFormat="1" applyFont="1" applyFill="1" applyBorder="1" applyAlignment="1">
      <alignment horizontal="right"/>
    </xf>
    <xf numFmtId="170" fontId="60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60" fillId="25" borderId="62" xfId="42" applyNumberFormat="1" applyFont="1" applyFill="1" applyBorder="1" applyAlignment="1">
      <alignment horizontal="right"/>
    </xf>
    <xf numFmtId="170" fontId="60" fillId="25" borderId="62" xfId="42" applyNumberFormat="1" applyFont="1" applyFill="1" applyBorder="1" applyAlignment="1">
      <alignment horizontal="right"/>
    </xf>
    <xf numFmtId="0" fontId="29" fillId="25" borderId="57" xfId="42" applyFont="1" applyFill="1" applyBorder="1"/>
    <xf numFmtId="0" fontId="29" fillId="25" borderId="40" xfId="42" applyFont="1" applyFill="1" applyBorder="1"/>
    <xf numFmtId="0" fontId="61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60" fillId="25" borderId="7" xfId="42" applyNumberFormat="1" applyFont="1" applyFill="1" applyBorder="1" applyAlignment="1">
      <alignment horizontal="right"/>
    </xf>
    <xf numFmtId="170" fontId="60" fillId="25" borderId="7" xfId="42" applyNumberFormat="1" applyFont="1" applyFill="1" applyBorder="1" applyAlignment="1">
      <alignment horizontal="right"/>
    </xf>
    <xf numFmtId="0" fontId="61" fillId="0" borderId="51" xfId="42" applyFont="1" applyFill="1" applyBorder="1"/>
    <xf numFmtId="1" fontId="60" fillId="0" borderId="33" xfId="42" applyNumberFormat="1" applyFont="1" applyFill="1" applyBorder="1" applyAlignment="1">
      <alignment horizontal="right"/>
    </xf>
    <xf numFmtId="170" fontId="60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1" xfId="42" applyFont="1" applyBorder="1"/>
    <xf numFmtId="0" fontId="10" fillId="0" borderId="51" xfId="42" applyBorder="1" applyAlignment="1">
      <alignment horizontal="right"/>
    </xf>
    <xf numFmtId="1" fontId="60" fillId="0" borderId="62" xfId="42" applyNumberFormat="1" applyFont="1" applyBorder="1" applyAlignment="1">
      <alignment horizontal="right"/>
    </xf>
    <xf numFmtId="170" fontId="60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29" fillId="0" borderId="57" xfId="42" applyFont="1" applyBorder="1"/>
    <xf numFmtId="0" fontId="29" fillId="0" borderId="40" xfId="42" applyFont="1" applyBorder="1"/>
    <xf numFmtId="0" fontId="61" fillId="0" borderId="40" xfId="42" applyFont="1" applyBorder="1"/>
    <xf numFmtId="0" fontId="29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60" fillId="0" borderId="7" xfId="42" applyNumberFormat="1" applyFont="1" applyBorder="1" applyAlignment="1">
      <alignment horizontal="right"/>
    </xf>
    <xf numFmtId="170" fontId="60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61" fillId="0" borderId="51" xfId="42" applyFont="1" applyBorder="1"/>
    <xf numFmtId="1" fontId="60" fillId="0" borderId="51" xfId="42" applyNumberFormat="1" applyFont="1" applyBorder="1" applyAlignment="1">
      <alignment horizontal="right"/>
    </xf>
    <xf numFmtId="170" fontId="60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4" fillId="0" borderId="33" xfId="42" applyFont="1" applyBorder="1"/>
    <xf numFmtId="0" fontId="10" fillId="0" borderId="34" xfId="42" applyBorder="1" applyAlignment="1">
      <alignment horizontal="right"/>
    </xf>
    <xf numFmtId="0" fontId="23" fillId="0" borderId="0" xfId="42" applyFont="1"/>
    <xf numFmtId="0" fontId="20" fillId="0" borderId="0" xfId="42" applyFont="1" applyAlignment="1">
      <alignment horizontal="left"/>
    </xf>
    <xf numFmtId="0" fontId="10" fillId="0" borderId="65" xfId="42" applyFill="1" applyBorder="1"/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0" xfId="0" applyBorder="1"/>
    <xf numFmtId="0" fontId="68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7" fillId="0" borderId="0" xfId="42" applyFont="1" applyFill="1" applyBorder="1"/>
    <xf numFmtId="171" fontId="10" fillId="0" borderId="0" xfId="42" applyNumberFormat="1" applyFont="1" applyFill="1" applyBorder="1" applyAlignment="1">
      <alignment horizontal="left"/>
    </xf>
    <xf numFmtId="171" fontId="69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7" fillId="0" borderId="0" xfId="42" applyFont="1" applyFill="1"/>
    <xf numFmtId="0" fontId="10" fillId="25" borderId="0" xfId="42" applyFont="1" applyFill="1" applyBorder="1"/>
    <xf numFmtId="0" fontId="70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8" fillId="0" borderId="0" xfId="0" applyFont="1" applyFill="1" applyProtection="1"/>
    <xf numFmtId="0" fontId="71" fillId="0" borderId="0" xfId="0" applyFont="1" applyFill="1" applyProtection="1"/>
    <xf numFmtId="0" fontId="68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2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72" xfId="0" applyFont="1" applyBorder="1"/>
    <xf numFmtId="0" fontId="10" fillId="0" borderId="72" xfId="0" applyFont="1" applyBorder="1"/>
    <xf numFmtId="0" fontId="0" fillId="0" borderId="72" xfId="0" applyBorder="1"/>
    <xf numFmtId="0" fontId="12" fillId="0" borderId="0" xfId="43" applyFont="1"/>
    <xf numFmtId="0" fontId="10" fillId="0" borderId="0" xfId="43"/>
    <xf numFmtId="0" fontId="10" fillId="0" borderId="70" xfId="43" applyBorder="1"/>
    <xf numFmtId="0" fontId="12" fillId="0" borderId="72" xfId="43" applyFont="1" applyBorder="1"/>
    <xf numFmtId="0" fontId="10" fillId="0" borderId="0" xfId="43" applyFont="1"/>
    <xf numFmtId="0" fontId="10" fillId="0" borderId="72" xfId="43" applyFont="1" applyBorder="1"/>
    <xf numFmtId="0" fontId="10" fillId="0" borderId="0" xfId="43" applyFont="1" applyBorder="1"/>
    <xf numFmtId="0" fontId="10" fillId="0" borderId="72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0" xfId="0" applyBorder="1" applyProtection="1">
      <protection locked="0"/>
    </xf>
    <xf numFmtId="0" fontId="10" fillId="0" borderId="0" xfId="43" applyProtection="1">
      <protection locked="0"/>
    </xf>
    <xf numFmtId="0" fontId="10" fillId="0" borderId="70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21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1" fillId="25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9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20" fillId="0" borderId="7" xfId="0" applyFont="1" applyFill="1" applyBorder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2" xfId="42" applyBorder="1"/>
    <xf numFmtId="0" fontId="10" fillId="0" borderId="70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6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2" fillId="0" borderId="0" xfId="0" applyFont="1" applyAlignment="1"/>
    <xf numFmtId="0" fontId="10" fillId="0" borderId="0" xfId="0" applyFont="1" applyBorder="1" applyProtection="1">
      <protection locked="0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77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78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79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79" fillId="0" borderId="0" xfId="0" applyFont="1" applyFill="1" applyBorder="1"/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23" fillId="0" borderId="0" xfId="0" applyFont="1" applyFill="1" applyBorder="1"/>
    <xf numFmtId="0" fontId="20" fillId="0" borderId="27" xfId="0" applyFont="1" applyFill="1" applyBorder="1"/>
    <xf numFmtId="0" fontId="20" fillId="0" borderId="28" xfId="0" applyFont="1" applyFill="1" applyBorder="1"/>
    <xf numFmtId="0" fontId="20" fillId="0" borderId="29" xfId="0" applyFont="1" applyFill="1" applyBorder="1" applyAlignment="1">
      <alignment horizontal="center"/>
    </xf>
    <xf numFmtId="0" fontId="20" fillId="0" borderId="27" xfId="0" applyFont="1" applyFill="1" applyBorder="1" applyAlignment="1">
      <alignment horizontal="center"/>
    </xf>
    <xf numFmtId="0" fontId="20" fillId="0" borderId="29" xfId="0" applyFont="1" applyFill="1" applyBorder="1"/>
    <xf numFmtId="0" fontId="20" fillId="0" borderId="39" xfId="0" applyFont="1" applyFill="1" applyBorder="1"/>
    <xf numFmtId="0" fontId="20" fillId="0" borderId="39" xfId="0" applyFont="1" applyFill="1" applyBorder="1" applyAlignment="1">
      <alignment horizontal="center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70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2" fillId="0" borderId="73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50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0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74" xfId="42" applyFont="1" applyFill="1" applyBorder="1" applyProtection="1"/>
    <xf numFmtId="0" fontId="10" fillId="25" borderId="0" xfId="42" applyFont="1" applyFill="1" applyBorder="1" applyProtection="1"/>
    <xf numFmtId="0" fontId="17" fillId="24" borderId="0" xfId="42" applyFont="1" applyFill="1" applyBorder="1" applyProtection="1"/>
    <xf numFmtId="0" fontId="10" fillId="25" borderId="0" xfId="42" applyFont="1" applyFill="1" applyBorder="1"/>
    <xf numFmtId="0" fontId="17" fillId="24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50" fillId="0" borderId="36" xfId="42" applyFont="1" applyFill="1" applyBorder="1" applyProtection="1"/>
    <xf numFmtId="0" fontId="50" fillId="0" borderId="0" xfId="42" applyFont="1" applyFill="1" applyBorder="1" applyProtection="1"/>
    <xf numFmtId="0" fontId="50" fillId="0" borderId="37" xfId="42" applyFont="1" applyFill="1" applyBorder="1" applyProtection="1"/>
    <xf numFmtId="0" fontId="50" fillId="0" borderId="0" xfId="42" applyFont="1" applyFill="1" applyProtection="1"/>
    <xf numFmtId="0" fontId="68" fillId="0" borderId="0" xfId="42" applyFont="1" applyFill="1" applyProtection="1"/>
    <xf numFmtId="0" fontId="72" fillId="0" borderId="0" xfId="42" applyFont="1"/>
    <xf numFmtId="0" fontId="12" fillId="0" borderId="73" xfId="42" applyFont="1" applyFill="1" applyBorder="1" applyProtection="1"/>
    <xf numFmtId="0" fontId="10" fillId="28" borderId="0" xfId="42" applyFill="1" applyProtection="1">
      <protection locked="0"/>
    </xf>
    <xf numFmtId="0" fontId="10" fillId="28" borderId="0" xfId="42" applyFill="1"/>
    <xf numFmtId="0" fontId="10" fillId="29" borderId="0" xfId="42" applyFill="1" applyProtection="1">
      <protection locked="0"/>
    </xf>
    <xf numFmtId="0" fontId="10" fillId="0" borderId="0" xfId="42" applyAlignment="1">
      <alignment horizontal="left"/>
    </xf>
    <xf numFmtId="0" fontId="63" fillId="30" borderId="0" xfId="42" applyFont="1" applyFill="1"/>
    <xf numFmtId="0" fontId="10" fillId="30" borderId="0" xfId="42" applyFill="1"/>
    <xf numFmtId="0" fontId="17" fillId="30" borderId="0" xfId="42" applyFont="1" applyFill="1"/>
    <xf numFmtId="0" fontId="10" fillId="30" borderId="0" xfId="42" applyFill="1" applyProtection="1"/>
    <xf numFmtId="0" fontId="10" fillId="30" borderId="0" xfId="42" applyFill="1" applyProtection="1">
      <protection locked="0"/>
    </xf>
    <xf numFmtId="15" fontId="10" fillId="30" borderId="0" xfId="42" applyNumberFormat="1" applyFill="1" applyAlignment="1">
      <alignment horizontal="left"/>
    </xf>
    <xf numFmtId="0" fontId="10" fillId="30" borderId="0" xfId="42" applyFill="1" applyAlignment="1">
      <alignment horizontal="right"/>
    </xf>
    <xf numFmtId="0" fontId="10" fillId="30" borderId="0" xfId="42" applyFill="1" applyAlignment="1">
      <alignment horizontal="center"/>
    </xf>
    <xf numFmtId="0" fontId="10" fillId="30" borderId="0" xfId="42" applyFill="1" applyAlignment="1">
      <alignment horizontal="left"/>
    </xf>
    <xf numFmtId="0" fontId="17" fillId="30" borderId="0" xfId="42" applyFont="1" applyFill="1" applyBorder="1"/>
    <xf numFmtId="0" fontId="10" fillId="30" borderId="0" xfId="42" applyFill="1" applyBorder="1" applyAlignment="1" applyProtection="1">
      <alignment vertical="center"/>
      <protection locked="0"/>
    </xf>
    <xf numFmtId="0" fontId="10" fillId="30" borderId="0" xfId="42" applyFill="1" applyBorder="1" applyProtection="1">
      <protection locked="0"/>
    </xf>
    <xf numFmtId="2" fontId="10" fillId="30" borderId="0" xfId="42" applyNumberFormat="1" applyFill="1"/>
    <xf numFmtId="0" fontId="17" fillId="30" borderId="64" xfId="42" applyFont="1" applyFill="1" applyBorder="1"/>
    <xf numFmtId="0" fontId="10" fillId="30" borderId="64" xfId="42" applyFill="1" applyBorder="1"/>
    <xf numFmtId="0" fontId="54" fillId="27" borderId="0" xfId="42" applyFont="1" applyFill="1"/>
    <xf numFmtId="0" fontId="10" fillId="27" borderId="0" xfId="42" applyFill="1"/>
    <xf numFmtId="0" fontId="17" fillId="27" borderId="0" xfId="42" applyFont="1" applyFill="1"/>
    <xf numFmtId="0" fontId="20" fillId="27" borderId="0" xfId="42" applyFont="1" applyFill="1"/>
    <xf numFmtId="0" fontId="17" fillId="27" borderId="63" xfId="42" applyFont="1" applyFill="1" applyBorder="1"/>
    <xf numFmtId="0" fontId="20" fillId="27" borderId="63" xfId="42" applyFont="1" applyFill="1" applyBorder="1"/>
    <xf numFmtId="0" fontId="10" fillId="27" borderId="63" xfId="42" applyFill="1" applyBorder="1"/>
    <xf numFmtId="0" fontId="62" fillId="0" borderId="0" xfId="42" applyFont="1" applyFill="1" applyAlignment="1">
      <alignment horizontal="left"/>
    </xf>
    <xf numFmtId="0" fontId="20" fillId="0" borderId="0" xfId="42" applyFont="1" applyFill="1"/>
    <xf numFmtId="0" fontId="10" fillId="0" borderId="63" xfId="42" applyFill="1" applyBorder="1"/>
    <xf numFmtId="0" fontId="10" fillId="0" borderId="0" xfId="42" applyFill="1" applyBorder="1" applyProtection="1">
      <protection locked="0"/>
    </xf>
    <xf numFmtId="0" fontId="20" fillId="0" borderId="0" xfId="42" applyFont="1" applyFill="1" applyBorder="1"/>
    <xf numFmtId="0" fontId="10" fillId="0" borderId="0" xfId="42" applyFill="1" applyAlignment="1">
      <alignment horizontal="center"/>
    </xf>
    <xf numFmtId="0" fontId="17" fillId="0" borderId="64" xfId="42" applyFont="1" applyFill="1" applyBorder="1"/>
    <xf numFmtId="0" fontId="10" fillId="0" borderId="64" xfId="42" applyFill="1" applyBorder="1"/>
    <xf numFmtId="0" fontId="64" fillId="0" borderId="0" xfId="42" applyFont="1" applyFill="1"/>
    <xf numFmtId="0" fontId="12" fillId="0" borderId="0" xfId="42" applyFont="1" applyFill="1" applyAlignment="1">
      <alignment horizontal="left"/>
    </xf>
    <xf numFmtId="0" fontId="65" fillId="0" borderId="65" xfId="42" applyFont="1" applyFill="1" applyBorder="1" applyAlignment="1">
      <alignment horizontal="left"/>
    </xf>
    <xf numFmtId="0" fontId="65" fillId="0" borderId="0" xfId="42" applyFont="1" applyFill="1" applyBorder="1" applyAlignment="1">
      <alignment horizontal="left"/>
    </xf>
    <xf numFmtId="0" fontId="31" fillId="0" borderId="0" xfId="42" applyFont="1" applyFill="1"/>
    <xf numFmtId="0" fontId="31" fillId="0" borderId="0" xfId="42" applyFont="1" applyFill="1" applyAlignment="1">
      <alignment horizontal="right"/>
    </xf>
    <xf numFmtId="0" fontId="73" fillId="0" borderId="0" xfId="42" applyFont="1" applyFill="1"/>
    <xf numFmtId="0" fontId="31" fillId="0" borderId="23" xfId="42" applyFont="1" applyFill="1" applyBorder="1"/>
    <xf numFmtId="0" fontId="64" fillId="0" borderId="0" xfId="42" applyFont="1" applyFill="1" applyAlignment="1">
      <alignment horizontal="center"/>
    </xf>
    <xf numFmtId="0" fontId="65" fillId="0" borderId="0" xfId="42" applyFont="1" applyFill="1"/>
    <xf numFmtId="0" fontId="10" fillId="0" borderId="0" xfId="42" applyFill="1" applyBorder="1" applyAlignment="1">
      <alignment horizontal="left"/>
    </xf>
    <xf numFmtId="0" fontId="66" fillId="0" borderId="0" xfId="42" applyFont="1" applyFill="1" applyBorder="1"/>
    <xf numFmtId="0" fontId="10" fillId="0" borderId="67" xfId="42" applyFill="1" applyBorder="1"/>
    <xf numFmtId="0" fontId="10" fillId="0" borderId="67" xfId="42" applyFill="1" applyBorder="1" applyAlignment="1">
      <alignment horizontal="right"/>
    </xf>
    <xf numFmtId="0" fontId="10" fillId="0" borderId="67" xfId="42" applyFill="1" applyBorder="1" applyAlignment="1">
      <alignment horizontal="left"/>
    </xf>
    <xf numFmtId="49" fontId="30" fillId="0" borderId="65" xfId="42" applyNumberFormat="1" applyFont="1" applyFill="1" applyBorder="1"/>
    <xf numFmtId="0" fontId="10" fillId="0" borderId="65" xfId="42" applyFill="1" applyBorder="1" applyAlignment="1">
      <alignment horizontal="left"/>
    </xf>
    <xf numFmtId="0" fontId="10" fillId="0" borderId="68" xfId="42" applyFill="1" applyBorder="1"/>
    <xf numFmtId="0" fontId="10" fillId="0" borderId="68" xfId="42" applyFill="1" applyBorder="1" applyAlignment="1">
      <alignment horizontal="right"/>
    </xf>
    <xf numFmtId="0" fontId="10" fillId="0" borderId="68" xfId="42" applyFill="1" applyBorder="1" applyAlignment="1">
      <alignment horizontal="left"/>
    </xf>
    <xf numFmtId="0" fontId="10" fillId="0" borderId="66" xfId="42" applyFill="1" applyBorder="1"/>
    <xf numFmtId="0" fontId="65" fillId="0" borderId="66" xfId="42" applyFont="1" applyFill="1" applyBorder="1" applyAlignment="1">
      <alignment horizontal="left"/>
    </xf>
    <xf numFmtId="49" fontId="30" fillId="0" borderId="66" xfId="42" applyNumberFormat="1" applyFont="1" applyFill="1" applyBorder="1"/>
    <xf numFmtId="0" fontId="10" fillId="0" borderId="66" xfId="42" applyFill="1" applyBorder="1" applyAlignment="1">
      <alignment horizontal="left"/>
    </xf>
    <xf numFmtId="0" fontId="10" fillId="0" borderId="39" xfId="42" applyFill="1" applyBorder="1"/>
    <xf numFmtId="0" fontId="10" fillId="0" borderId="39" xfId="42" applyFill="1" applyBorder="1" applyAlignment="1">
      <alignment horizontal="right"/>
    </xf>
    <xf numFmtId="0" fontId="65" fillId="0" borderId="69" xfId="42" applyFont="1" applyFill="1" applyBorder="1" applyAlignment="1">
      <alignment horizontal="left"/>
    </xf>
    <xf numFmtId="49" fontId="30" fillId="0" borderId="69" xfId="42" applyNumberFormat="1" applyFont="1" applyFill="1" applyBorder="1"/>
    <xf numFmtId="0" fontId="10" fillId="0" borderId="69" xfId="42" applyFill="1" applyBorder="1" applyAlignment="1">
      <alignment horizontal="left"/>
    </xf>
    <xf numFmtId="0" fontId="17" fillId="0" borderId="67" xfId="42" applyFont="1" applyFill="1" applyBorder="1" applyAlignment="1">
      <alignment horizontal="left"/>
    </xf>
    <xf numFmtId="49" fontId="30" fillId="0" borderId="0" xfId="42" applyNumberFormat="1" applyFont="1" applyFill="1" applyBorder="1"/>
    <xf numFmtId="0" fontId="64" fillId="0" borderId="0" xfId="42" applyFont="1" applyFill="1" applyBorder="1"/>
    <xf numFmtId="0" fontId="10" fillId="0" borderId="64" xfId="42" applyFill="1" applyBorder="1" applyAlignment="1">
      <alignment horizontal="right"/>
    </xf>
    <xf numFmtId="0" fontId="10" fillId="0" borderId="64" xfId="42" applyFill="1" applyBorder="1" applyAlignment="1">
      <alignment horizontal="left"/>
    </xf>
    <xf numFmtId="0" fontId="15" fillId="0" borderId="0" xfId="42" applyFont="1" applyFill="1"/>
    <xf numFmtId="0" fontId="17" fillId="0" borderId="65" xfId="42" applyFont="1" applyFill="1" applyBorder="1"/>
    <xf numFmtId="0" fontId="17" fillId="0" borderId="66" xfId="42" applyFont="1" applyFill="1" applyBorder="1"/>
    <xf numFmtId="0" fontId="10" fillId="0" borderId="66" xfId="42" applyFill="1" applyBorder="1" applyAlignment="1">
      <alignment horizontal="right"/>
    </xf>
    <xf numFmtId="0" fontId="10" fillId="0" borderId="66" xfId="42" applyFill="1" applyBorder="1" applyAlignment="1">
      <alignment horizontal="center"/>
    </xf>
    <xf numFmtId="0" fontId="14" fillId="0" borderId="71" xfId="0" applyFont="1" applyFill="1" applyBorder="1"/>
    <xf numFmtId="0" fontId="24" fillId="0" borderId="23" xfId="0" applyFont="1" applyFill="1" applyBorder="1"/>
    <xf numFmtId="0" fontId="14" fillId="0" borderId="23" xfId="0" applyFont="1" applyFill="1" applyBorder="1"/>
    <xf numFmtId="0" fontId="14" fillId="0" borderId="0" xfId="0" applyFont="1" applyFill="1" applyBorder="1"/>
    <xf numFmtId="0" fontId="14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4" fillId="0" borderId="23" xfId="0" applyFont="1" applyFill="1" applyBorder="1" applyAlignment="1">
      <alignment horizontal="left" vertical="top"/>
    </xf>
    <xf numFmtId="0" fontId="10" fillId="0" borderId="0" xfId="0" applyFont="1" applyAlignment="1"/>
    <xf numFmtId="0" fontId="0" fillId="28" borderId="0" xfId="0" applyFill="1"/>
    <xf numFmtId="0" fontId="10" fillId="28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88" fillId="32" borderId="0" xfId="0" applyFont="1" applyFill="1"/>
    <xf numFmtId="0" fontId="89" fillId="33" borderId="0" xfId="0" applyFont="1" applyFill="1"/>
    <xf numFmtId="0" fontId="89" fillId="34" borderId="0" xfId="0" applyFont="1" applyFill="1"/>
    <xf numFmtId="0" fontId="89" fillId="35" borderId="0" xfId="0" applyFont="1" applyFill="1"/>
    <xf numFmtId="0" fontId="89" fillId="36" borderId="0" xfId="0" applyFont="1" applyFill="1"/>
    <xf numFmtId="0" fontId="90" fillId="37" borderId="0" xfId="0" applyFont="1" applyFill="1"/>
    <xf numFmtId="0" fontId="89" fillId="38" borderId="0" xfId="0" applyFont="1" applyFill="1"/>
    <xf numFmtId="0" fontId="74" fillId="0" borderId="0" xfId="0" applyFont="1" applyFill="1"/>
    <xf numFmtId="0" fontId="51" fillId="39" borderId="80" xfId="0" applyFont="1" applyFill="1" applyBorder="1"/>
    <xf numFmtId="0" fontId="51" fillId="39" borderId="81" xfId="0" applyFont="1" applyFill="1" applyBorder="1"/>
    <xf numFmtId="0" fontId="51" fillId="39" borderId="82" xfId="0" applyFont="1" applyFill="1" applyBorder="1"/>
    <xf numFmtId="0" fontId="88" fillId="32" borderId="0" xfId="0" applyFont="1" applyFill="1" applyProtection="1"/>
    <xf numFmtId="0" fontId="51" fillId="39" borderId="83" xfId="0" applyFont="1" applyFill="1" applyBorder="1" applyAlignment="1" applyProtection="1">
      <alignment horizontal="center"/>
    </xf>
    <xf numFmtId="0" fontId="51" fillId="39" borderId="84" xfId="0" applyFont="1" applyFill="1" applyBorder="1" applyAlignment="1" applyProtection="1">
      <alignment horizontal="left"/>
    </xf>
    <xf numFmtId="0" fontId="51" fillId="39" borderId="84" xfId="0" applyFont="1" applyFill="1" applyBorder="1" applyProtection="1"/>
    <xf numFmtId="0" fontId="51" fillId="39" borderId="85" xfId="0" applyFont="1" applyFill="1" applyBorder="1" applyProtection="1"/>
    <xf numFmtId="0" fontId="51" fillId="39" borderId="86" xfId="0" applyFont="1" applyFill="1" applyBorder="1" applyAlignment="1" applyProtection="1">
      <alignment horizontal="center"/>
    </xf>
    <xf numFmtId="0" fontId="51" fillId="39" borderId="87" xfId="0" applyFont="1" applyFill="1" applyBorder="1" applyAlignment="1" applyProtection="1">
      <alignment horizontal="left"/>
    </xf>
    <xf numFmtId="0" fontId="51" fillId="39" borderId="87" xfId="0" applyFont="1" applyFill="1" applyBorder="1" applyProtection="1"/>
    <xf numFmtId="0" fontId="51" fillId="39" borderId="88" xfId="0" applyFont="1" applyFill="1" applyBorder="1" applyProtection="1"/>
    <xf numFmtId="0" fontId="51" fillId="39" borderId="89" xfId="0" applyFont="1" applyFill="1" applyBorder="1" applyAlignment="1" applyProtection="1">
      <alignment horizontal="center"/>
    </xf>
    <xf numFmtId="0" fontId="51" fillId="39" borderId="90" xfId="0" applyFont="1" applyFill="1" applyBorder="1" applyAlignment="1" applyProtection="1">
      <alignment horizontal="left"/>
    </xf>
    <xf numFmtId="0" fontId="51" fillId="39" borderId="90" xfId="0" applyFont="1" applyFill="1" applyBorder="1" applyProtection="1"/>
    <xf numFmtId="0" fontId="51" fillId="39" borderId="91" xfId="0" applyFont="1" applyFill="1" applyBorder="1" applyProtection="1"/>
    <xf numFmtId="0" fontId="51" fillId="39" borderId="83" xfId="0" applyFont="1" applyFill="1" applyBorder="1" applyAlignment="1" applyProtection="1">
      <alignment horizontal="center"/>
      <protection locked="0"/>
    </xf>
    <xf numFmtId="0" fontId="51" fillId="39" borderId="84" xfId="0" applyFont="1" applyFill="1" applyBorder="1" applyAlignment="1" applyProtection="1">
      <alignment horizontal="center"/>
      <protection locked="0"/>
    </xf>
    <xf numFmtId="0" fontId="51" fillId="39" borderId="86" xfId="0" applyFont="1" applyFill="1" applyBorder="1" applyAlignment="1" applyProtection="1">
      <alignment horizontal="center"/>
      <protection locked="0"/>
    </xf>
    <xf numFmtId="0" fontId="51" fillId="39" borderId="87" xfId="0" applyFont="1" applyFill="1" applyBorder="1" applyAlignment="1" applyProtection="1">
      <alignment horizontal="center"/>
      <protection locked="0"/>
    </xf>
    <xf numFmtId="0" fontId="51" fillId="39" borderId="89" xfId="0" applyFont="1" applyFill="1" applyBorder="1" applyAlignment="1" applyProtection="1">
      <alignment horizontal="center"/>
      <protection locked="0"/>
    </xf>
    <xf numFmtId="0" fontId="51" fillId="39" borderId="90" xfId="0" applyFont="1" applyFill="1" applyBorder="1" applyAlignment="1" applyProtection="1">
      <alignment horizontal="center"/>
      <protection locked="0"/>
    </xf>
    <xf numFmtId="0" fontId="89" fillId="33" borderId="0" xfId="0" applyFont="1" applyFill="1" applyBorder="1" applyProtection="1"/>
    <xf numFmtId="0" fontId="89" fillId="33" borderId="0" xfId="0" applyFont="1" applyFill="1" applyBorder="1"/>
    <xf numFmtId="0" fontId="89" fillId="33" borderId="0" xfId="0" applyFont="1" applyFill="1" applyProtection="1"/>
    <xf numFmtId="0" fontId="89" fillId="33" borderId="0" xfId="0" applyFont="1" applyFill="1" applyBorder="1" applyAlignment="1">
      <alignment horizontal="center"/>
    </xf>
    <xf numFmtId="0" fontId="89" fillId="34" borderId="0" xfId="0" applyFont="1" applyFill="1" applyBorder="1" applyAlignment="1">
      <alignment horizontal="left"/>
    </xf>
    <xf numFmtId="15" fontId="89" fillId="34" borderId="0" xfId="0" applyNumberFormat="1" applyFont="1" applyFill="1" applyBorder="1" applyAlignment="1">
      <alignment horizontal="left"/>
    </xf>
    <xf numFmtId="0" fontId="89" fillId="34" borderId="0" xfId="0" applyFont="1" applyFill="1" applyBorder="1" applyAlignment="1"/>
    <xf numFmtId="14" fontId="89" fillId="34" borderId="0" xfId="0" applyNumberFormat="1" applyFont="1" applyFill="1" applyProtection="1"/>
    <xf numFmtId="15" fontId="89" fillId="34" borderId="0" xfId="0" applyNumberFormat="1" applyFont="1" applyFill="1" applyBorder="1" applyAlignment="1" applyProtection="1">
      <alignment horizontal="left"/>
      <protection locked="0"/>
    </xf>
    <xf numFmtId="0" fontId="89" fillId="34" borderId="0" xfId="0" applyFont="1" applyFill="1" applyBorder="1" applyAlignment="1" applyProtection="1">
      <alignment horizontal="left"/>
      <protection locked="0"/>
    </xf>
    <xf numFmtId="0" fontId="91" fillId="34" borderId="0" xfId="0" applyFont="1" applyFill="1" applyBorder="1" applyAlignment="1">
      <alignment horizontal="left"/>
    </xf>
    <xf numFmtId="49" fontId="89" fillId="34" borderId="0" xfId="0" applyNumberFormat="1" applyFont="1" applyFill="1" applyBorder="1" applyAlignment="1">
      <alignment horizontal="left"/>
    </xf>
    <xf numFmtId="0" fontId="89" fillId="34" borderId="0" xfId="0" applyFont="1" applyFill="1" applyBorder="1" applyProtection="1"/>
    <xf numFmtId="1" fontId="89" fillId="34" borderId="0" xfId="0" applyNumberFormat="1" applyFont="1" applyFill="1" applyBorder="1" applyAlignment="1">
      <alignment horizontal="left"/>
    </xf>
    <xf numFmtId="0" fontId="89" fillId="36" borderId="0" xfId="0" applyFont="1" applyFill="1" applyProtection="1"/>
    <xf numFmtId="0" fontId="89" fillId="36" borderId="0" xfId="0" applyFont="1" applyFill="1" applyBorder="1" applyProtection="1"/>
    <xf numFmtId="0" fontId="75" fillId="32" borderId="0" xfId="0" applyFont="1" applyFill="1" applyProtection="1"/>
    <xf numFmtId="0" fontId="10" fillId="32" borderId="0" xfId="0" applyFont="1" applyFill="1" applyBorder="1" applyProtection="1"/>
    <xf numFmtId="0" fontId="12" fillId="32" borderId="0" xfId="0" applyFont="1" applyFill="1" applyBorder="1" applyProtection="1"/>
    <xf numFmtId="0" fontId="75" fillId="32" borderId="0" xfId="0" applyFont="1" applyFill="1" applyBorder="1" applyProtection="1"/>
    <xf numFmtId="0" fontId="11" fillId="32" borderId="0" xfId="0" applyFont="1" applyFill="1" applyProtection="1"/>
    <xf numFmtId="0" fontId="21" fillId="32" borderId="0" xfId="0" applyFont="1" applyFill="1" applyBorder="1" applyProtection="1">
      <protection locked="0"/>
    </xf>
    <xf numFmtId="0" fontId="21" fillId="32" borderId="0" xfId="0" applyFont="1" applyFill="1" applyBorder="1" applyProtection="1"/>
    <xf numFmtId="0" fontId="21" fillId="32" borderId="0" xfId="0" applyFont="1" applyFill="1" applyBorder="1" applyAlignment="1">
      <alignment horizontal="left"/>
    </xf>
    <xf numFmtId="0" fontId="12" fillId="32" borderId="0" xfId="0" applyFont="1" applyFill="1" applyBorder="1" applyAlignment="1">
      <alignment horizontal="left"/>
    </xf>
    <xf numFmtId="0" fontId="21" fillId="32" borderId="0" xfId="0" applyFont="1" applyFill="1" applyBorder="1" applyAlignment="1"/>
    <xf numFmtId="1" fontId="12" fillId="32" borderId="0" xfId="0" applyNumberFormat="1" applyFont="1" applyFill="1" applyBorder="1" applyAlignment="1">
      <alignment horizontal="left"/>
    </xf>
    <xf numFmtId="0" fontId="16" fillId="32" borderId="0" xfId="0" applyFont="1" applyFill="1" applyProtection="1"/>
    <xf numFmtId="0" fontId="16" fillId="32" borderId="0" xfId="0" applyFont="1" applyFill="1" applyBorder="1" applyProtection="1"/>
    <xf numFmtId="0" fontId="53" fillId="32" borderId="0" xfId="0" applyFont="1" applyFill="1" applyBorder="1" applyProtection="1"/>
    <xf numFmtId="0" fontId="21" fillId="32" borderId="0" xfId="0" applyFont="1" applyFill="1" applyProtection="1"/>
    <xf numFmtId="0" fontId="81" fillId="32" borderId="0" xfId="0" applyFont="1" applyFill="1" applyBorder="1" applyAlignment="1" applyProtection="1">
      <alignment horizontal="center"/>
    </xf>
    <xf numFmtId="0" fontId="80" fillId="32" borderId="0" xfId="0" applyFont="1" applyFill="1" applyBorder="1" applyProtection="1"/>
    <xf numFmtId="0" fontId="12" fillId="32" borderId="0" xfId="0" applyFont="1" applyFill="1" applyBorder="1" applyAlignment="1" applyProtection="1">
      <alignment horizontal="center"/>
    </xf>
    <xf numFmtId="0" fontId="30" fillId="32" borderId="0" xfId="0" applyFont="1" applyFill="1" applyBorder="1" applyProtection="1"/>
    <xf numFmtId="0" fontId="15" fillId="32" borderId="0" xfId="0" applyFont="1" applyFill="1" applyProtection="1"/>
    <xf numFmtId="0" fontId="15" fillId="32" borderId="0" xfId="0" applyFont="1" applyFill="1" applyBorder="1" applyProtection="1"/>
    <xf numFmtId="0" fontId="21" fillId="32" borderId="0" xfId="0" applyFont="1" applyFill="1" applyBorder="1" applyAlignment="1">
      <alignment horizontal="center"/>
    </xf>
    <xf numFmtId="0" fontId="21" fillId="32" borderId="0" xfId="0" applyFont="1" applyFill="1" applyAlignment="1"/>
    <xf numFmtId="0" fontId="89" fillId="34" borderId="0" xfId="0" applyFont="1" applyFill="1" applyBorder="1"/>
    <xf numFmtId="0" fontId="89" fillId="35" borderId="0" xfId="0" applyFont="1" applyFill="1" applyBorder="1"/>
    <xf numFmtId="0" fontId="89" fillId="36" borderId="0" xfId="0" applyFont="1" applyFill="1" applyBorder="1"/>
    <xf numFmtId="0" fontId="90" fillId="37" borderId="0" xfId="0" applyFont="1" applyFill="1" applyBorder="1"/>
    <xf numFmtId="0" fontId="89" fillId="38" borderId="0" xfId="0" applyFont="1" applyFill="1" applyBorder="1"/>
    <xf numFmtId="0" fontId="89" fillId="35" borderId="0" xfId="0" applyFont="1" applyFill="1" applyBorder="1" applyAlignment="1" applyProtection="1">
      <alignment horizontal="left"/>
    </xf>
    <xf numFmtId="0" fontId="91" fillId="35" borderId="0" xfId="0" applyFont="1" applyFill="1" applyBorder="1" applyProtection="1"/>
    <xf numFmtId="0" fontId="89" fillId="35" borderId="0" xfId="0" applyFont="1" applyFill="1" applyBorder="1" applyProtection="1"/>
    <xf numFmtId="0" fontId="89" fillId="35" borderId="0" xfId="0" applyFont="1" applyFill="1" applyProtection="1"/>
    <xf numFmtId="0" fontId="51" fillId="39" borderId="0" xfId="0" applyFont="1" applyFill="1"/>
    <xf numFmtId="0" fontId="89" fillId="34" borderId="0" xfId="0" applyFont="1" applyFill="1" applyProtection="1"/>
    <xf numFmtId="0" fontId="75" fillId="32" borderId="0" xfId="0" applyFont="1" applyFill="1"/>
    <xf numFmtId="0" fontId="53" fillId="32" borderId="0" xfId="0" applyFont="1" applyFill="1" applyBorder="1" applyAlignment="1">
      <alignment horizontal="left"/>
    </xf>
    <xf numFmtId="0" fontId="53" fillId="32" borderId="0" xfId="0" applyFont="1" applyFill="1" applyBorder="1" applyAlignment="1"/>
    <xf numFmtId="0" fontId="53" fillId="32" borderId="0" xfId="0" applyFont="1" applyFill="1" applyBorder="1"/>
    <xf numFmtId="0" fontId="75" fillId="32" borderId="0" xfId="0" applyFont="1" applyFill="1" applyBorder="1"/>
    <xf numFmtId="0" fontId="13" fillId="32" borderId="0" xfId="0" applyFont="1" applyFill="1"/>
    <xf numFmtId="0" fontId="82" fillId="32" borderId="0" xfId="0" applyFont="1" applyFill="1" applyBorder="1" applyProtection="1"/>
    <xf numFmtId="0" fontId="80" fillId="32" borderId="0" xfId="0" applyFont="1" applyFill="1" applyBorder="1" applyAlignment="1" applyProtection="1">
      <alignment horizontal="left"/>
    </xf>
    <xf numFmtId="0" fontId="11" fillId="32" borderId="0" xfId="0" applyFont="1" applyFill="1"/>
    <xf numFmtId="0" fontId="86" fillId="32" borderId="0" xfId="0" applyFont="1" applyFill="1" applyBorder="1" applyAlignment="1" applyProtection="1">
      <alignment horizontal="center"/>
      <protection locked="0"/>
    </xf>
    <xf numFmtId="0" fontId="75" fillId="32" borderId="0" xfId="0" applyFont="1" applyFill="1" applyBorder="1" applyAlignment="1">
      <alignment horizontal="left"/>
    </xf>
    <xf numFmtId="0" fontId="11" fillId="32" borderId="0" xfId="0" applyFont="1" applyFill="1" applyAlignment="1">
      <alignment wrapText="1"/>
    </xf>
    <xf numFmtId="0" fontId="11" fillId="32" borderId="0" xfId="0" applyFont="1" applyFill="1" applyBorder="1"/>
    <xf numFmtId="1" fontId="53" fillId="32" borderId="0" xfId="0" applyNumberFormat="1" applyFont="1" applyFill="1" applyBorder="1" applyAlignment="1">
      <alignment horizontal="left"/>
    </xf>
    <xf numFmtId="0" fontId="21" fillId="32" borderId="0" xfId="0" applyFont="1" applyFill="1"/>
    <xf numFmtId="0" fontId="68" fillId="32" borderId="0" xfId="0" applyFont="1" applyFill="1"/>
    <xf numFmtId="0" fontId="12" fillId="32" borderId="0" xfId="0" applyFont="1" applyFill="1"/>
    <xf numFmtId="0" fontId="68" fillId="32" borderId="0" xfId="0" applyFont="1" applyFill="1" applyBorder="1"/>
    <xf numFmtId="0" fontId="82" fillId="32" borderId="0" xfId="0" applyFont="1" applyFill="1"/>
    <xf numFmtId="0" fontId="21" fillId="32" borderId="0" xfId="0" applyFont="1" applyFill="1" applyAlignment="1">
      <alignment horizontal="right"/>
    </xf>
    <xf numFmtId="0" fontId="21" fillId="32" borderId="0" xfId="0" applyFont="1" applyFill="1" applyBorder="1"/>
    <xf numFmtId="0" fontId="21" fillId="32" borderId="38" xfId="0" applyFont="1" applyFill="1" applyBorder="1"/>
    <xf numFmtId="0" fontId="21" fillId="32" borderId="0" xfId="0" applyNumberFormat="1" applyFont="1" applyFill="1" applyBorder="1" applyAlignment="1"/>
    <xf numFmtId="49" fontId="21" fillId="32" borderId="0" xfId="0" applyNumberFormat="1" applyFont="1" applyFill="1" applyBorder="1" applyAlignment="1">
      <alignment horizontal="left" vertical="top" wrapText="1"/>
    </xf>
    <xf numFmtId="0" fontId="21" fillId="32" borderId="0" xfId="0" applyFont="1" applyFill="1" applyBorder="1" applyAlignment="1">
      <alignment shrinkToFit="1"/>
    </xf>
    <xf numFmtId="0" fontId="75" fillId="32" borderId="0" xfId="0" applyFont="1" applyFill="1" applyBorder="1" applyAlignment="1">
      <alignment shrinkToFit="1"/>
    </xf>
    <xf numFmtId="0" fontId="80" fillId="32" borderId="0" xfId="0" applyFont="1" applyFill="1"/>
    <xf numFmtId="0" fontId="12" fillId="32" borderId="0" xfId="0" applyFont="1" applyFill="1" applyAlignment="1">
      <alignment horizontal="center"/>
    </xf>
    <xf numFmtId="0" fontId="83" fillId="32" borderId="0" xfId="0" applyFont="1" applyFill="1"/>
    <xf numFmtId="0" fontId="12" fillId="32" borderId="79" xfId="0" applyFont="1" applyFill="1" applyBorder="1" applyAlignment="1">
      <alignment horizontal="center"/>
    </xf>
    <xf numFmtId="0" fontId="53" fillId="32" borderId="0" xfId="0" applyFont="1" applyFill="1" applyBorder="1" applyAlignment="1">
      <alignment horizontal="right"/>
    </xf>
    <xf numFmtId="0" fontId="80" fillId="32" borderId="0" xfId="0" applyFont="1" applyFill="1" applyBorder="1"/>
    <xf numFmtId="0" fontId="80" fillId="32" borderId="0" xfId="0" applyFont="1" applyFill="1" applyBorder="1" applyAlignment="1">
      <alignment horizontal="left"/>
    </xf>
    <xf numFmtId="0" fontId="82" fillId="32" borderId="0" xfId="0" applyFont="1" applyFill="1" applyBorder="1"/>
    <xf numFmtId="0" fontId="12" fillId="32" borderId="0" xfId="0" applyFont="1" applyFill="1" applyBorder="1"/>
    <xf numFmtId="0" fontId="17" fillId="32" borderId="0" xfId="0" applyFont="1" applyFill="1" applyBorder="1"/>
    <xf numFmtId="0" fontId="80" fillId="32" borderId="0" xfId="0" applyFont="1" applyFill="1" applyBorder="1" applyProtection="1">
      <protection locked="0" hidden="1"/>
    </xf>
    <xf numFmtId="0" fontId="80" fillId="32" borderId="0" xfId="0" applyFont="1" applyFill="1" applyBorder="1" applyAlignment="1">
      <alignment horizontal="right"/>
    </xf>
    <xf numFmtId="0" fontId="21" fillId="32" borderId="0" xfId="0" applyFont="1" applyFill="1" applyBorder="1" applyProtection="1">
      <protection locked="0" hidden="1"/>
    </xf>
    <xf numFmtId="0" fontId="21" fillId="32" borderId="75" xfId="0" applyFont="1" applyFill="1" applyBorder="1"/>
    <xf numFmtId="0" fontId="21" fillId="32" borderId="76" xfId="0" applyFont="1" applyFill="1" applyBorder="1"/>
    <xf numFmtId="0" fontId="21" fillId="32" borderId="77" xfId="0" applyFont="1" applyFill="1" applyBorder="1"/>
    <xf numFmtId="0" fontId="21" fillId="32" borderId="78" xfId="0" applyFont="1" applyFill="1" applyBorder="1"/>
    <xf numFmtId="0" fontId="83" fillId="32" borderId="0" xfId="0" applyFont="1" applyFill="1" applyBorder="1" applyAlignment="1">
      <alignment horizontal="right"/>
    </xf>
    <xf numFmtId="0" fontId="80" fillId="32" borderId="0" xfId="0" applyFont="1" applyFill="1" applyBorder="1" applyAlignment="1" applyProtection="1">
      <alignment horizontal="right"/>
      <protection locked="0" hidden="1"/>
    </xf>
    <xf numFmtId="0" fontId="84" fillId="32" borderId="0" xfId="0" applyFont="1" applyFill="1" applyBorder="1"/>
    <xf numFmtId="0" fontId="75" fillId="32" borderId="0" xfId="0" applyFont="1" applyFill="1" applyBorder="1" applyProtection="1">
      <protection locked="0" hidden="1"/>
    </xf>
    <xf numFmtId="0" fontId="12" fillId="32" borderId="79" xfId="0" applyFont="1" applyFill="1" applyBorder="1"/>
    <xf numFmtId="0" fontId="80" fillId="32" borderId="0" xfId="0" applyFont="1" applyFill="1" applyBorder="1" applyAlignment="1">
      <alignment horizontal="center"/>
    </xf>
    <xf numFmtId="0" fontId="21" fillId="32" borderId="0" xfId="0" applyFont="1" applyFill="1" applyProtection="1">
      <protection locked="0"/>
    </xf>
    <xf numFmtId="0" fontId="10" fillId="32" borderId="0" xfId="42" applyFont="1" applyFill="1" applyBorder="1" applyProtection="1">
      <protection locked="0"/>
    </xf>
    <xf numFmtId="0" fontId="10" fillId="32" borderId="0" xfId="42" applyFont="1" applyFill="1"/>
    <xf numFmtId="0" fontId="10" fillId="32" borderId="0" xfId="42" applyFont="1" applyFill="1" applyBorder="1"/>
    <xf numFmtId="0" fontId="17" fillId="32" borderId="0" xfId="42" applyFont="1" applyFill="1"/>
    <xf numFmtId="0" fontId="70" fillId="32" borderId="0" xfId="42" applyFont="1" applyFill="1" applyBorder="1"/>
    <xf numFmtId="0" fontId="10" fillId="32" borderId="0" xfId="42" applyFill="1"/>
    <xf numFmtId="0" fontId="10" fillId="32" borderId="0" xfId="42" applyFont="1" applyFill="1" applyProtection="1">
      <protection locked="0"/>
    </xf>
    <xf numFmtId="0" fontId="13" fillId="32" borderId="0" xfId="0" applyFont="1" applyFill="1" applyProtection="1"/>
    <xf numFmtId="0" fontId="68" fillId="32" borderId="0" xfId="0" applyFont="1" applyFill="1" applyProtection="1"/>
    <xf numFmtId="0" fontId="17" fillId="32" borderId="0" xfId="0" applyFont="1" applyFill="1" applyBorder="1" applyAlignment="1" applyProtection="1">
      <alignment horizontal="center"/>
    </xf>
    <xf numFmtId="0" fontId="19" fillId="32" borderId="0" xfId="0" applyFont="1" applyFill="1" applyProtection="1"/>
    <xf numFmtId="0" fontId="17" fillId="32" borderId="0" xfId="0" applyFont="1" applyFill="1" applyBorder="1" applyProtection="1"/>
    <xf numFmtId="0" fontId="50" fillId="32" borderId="0" xfId="0" applyFont="1" applyFill="1" applyBorder="1" applyProtection="1"/>
    <xf numFmtId="0" fontId="21" fillId="32" borderId="0" xfId="0" applyFont="1" applyFill="1" applyBorder="1" applyAlignment="1" applyProtection="1">
      <alignment horizontal="left" vertical="center" wrapText="1"/>
    </xf>
    <xf numFmtId="0" fontId="21" fillId="32" borderId="0" xfId="0" applyFont="1" applyFill="1" applyBorder="1" applyAlignment="1" applyProtection="1">
      <alignment horizontal="center" vertical="center"/>
    </xf>
    <xf numFmtId="0" fontId="13" fillId="32" borderId="0" xfId="0" applyFont="1" applyFill="1" applyAlignment="1" applyProtection="1">
      <alignment horizontal="center" vertical="center"/>
    </xf>
    <xf numFmtId="0" fontId="50" fillId="32" borderId="0" xfId="0" applyFont="1" applyFill="1" applyProtection="1"/>
    <xf numFmtId="0" fontId="20" fillId="32" borderId="0" xfId="0" applyFont="1" applyFill="1" applyBorder="1" applyProtection="1"/>
    <xf numFmtId="0" fontId="10" fillId="32" borderId="0" xfId="43" applyFont="1" applyFill="1" applyProtection="1">
      <protection locked="0"/>
    </xf>
    <xf numFmtId="0" fontId="10" fillId="32" borderId="0" xfId="43" applyFont="1" applyFill="1"/>
    <xf numFmtId="0" fontId="10" fillId="32" borderId="0" xfId="43" applyFont="1" applyFill="1" applyBorder="1"/>
    <xf numFmtId="0" fontId="10" fillId="32" borderId="0" xfId="43" applyFill="1" applyProtection="1">
      <protection locked="0"/>
    </xf>
    <xf numFmtId="0" fontId="10" fillId="32" borderId="0" xfId="43" applyFill="1"/>
    <xf numFmtId="0" fontId="0" fillId="32" borderId="0" xfId="0" applyFill="1"/>
    <xf numFmtId="0" fontId="10" fillId="32" borderId="0" xfId="43" applyFill="1" applyBorder="1" applyAlignment="1">
      <alignment vertical="top"/>
    </xf>
    <xf numFmtId="0" fontId="10" fillId="32" borderId="0" xfId="43" applyFill="1" applyBorder="1"/>
    <xf numFmtId="0" fontId="10" fillId="32" borderId="0" xfId="43" applyFill="1" applyAlignment="1">
      <alignment vertical="center"/>
    </xf>
    <xf numFmtId="0" fontId="10" fillId="32" borderId="0" xfId="43" applyFont="1" applyFill="1" applyAlignment="1">
      <alignment vertical="top" wrapText="1"/>
    </xf>
    <xf numFmtId="0" fontId="10" fillId="32" borderId="0" xfId="43" applyFont="1" applyFill="1" applyAlignment="1">
      <alignment horizontal="left" vertical="top"/>
    </xf>
    <xf numFmtId="0" fontId="10" fillId="32" borderId="0" xfId="0" applyFont="1" applyFill="1"/>
    <xf numFmtId="0" fontId="68" fillId="32" borderId="0" xfId="43" applyFont="1" applyFill="1"/>
    <xf numFmtId="0" fontId="51" fillId="39" borderId="84" xfId="0" applyFont="1" applyFill="1" applyBorder="1" applyAlignment="1">
      <alignment horizontal="left"/>
    </xf>
    <xf numFmtId="0" fontId="51" fillId="39" borderId="84" xfId="0" applyNumberFormat="1" applyFont="1" applyFill="1" applyBorder="1"/>
    <xf numFmtId="0" fontId="51" fillId="39" borderId="84" xfId="0" applyFont="1" applyFill="1" applyBorder="1" applyAlignment="1">
      <alignment horizontal="center"/>
    </xf>
    <xf numFmtId="0" fontId="51" fillId="39" borderId="84" xfId="0" applyFont="1" applyFill="1" applyBorder="1"/>
    <xf numFmtId="0" fontId="51" fillId="39" borderId="85" xfId="0" applyFont="1" applyFill="1" applyBorder="1"/>
    <xf numFmtId="0" fontId="51" fillId="39" borderId="87" xfId="0" applyFont="1" applyFill="1" applyBorder="1" applyAlignment="1">
      <alignment horizontal="left"/>
    </xf>
    <xf numFmtId="0" fontId="51" fillId="39" borderId="87" xfId="0" applyNumberFormat="1" applyFont="1" applyFill="1" applyBorder="1"/>
    <xf numFmtId="0" fontId="51" fillId="39" borderId="87" xfId="0" applyFont="1" applyFill="1" applyBorder="1" applyAlignment="1">
      <alignment horizontal="center"/>
    </xf>
    <xf numFmtId="0" fontId="51" fillId="39" borderId="87" xfId="0" applyFont="1" applyFill="1" applyBorder="1"/>
    <xf numFmtId="0" fontId="51" fillId="39" borderId="88" xfId="0" applyFont="1" applyFill="1" applyBorder="1"/>
    <xf numFmtId="0" fontId="51" fillId="39" borderId="90" xfId="0" applyFont="1" applyFill="1" applyBorder="1" applyAlignment="1">
      <alignment horizontal="left"/>
    </xf>
    <xf numFmtId="0" fontId="51" fillId="39" borderId="90" xfId="0" applyNumberFormat="1" applyFont="1" applyFill="1" applyBorder="1"/>
    <xf numFmtId="0" fontId="51" fillId="39" borderId="90" xfId="0" applyFont="1" applyFill="1" applyBorder="1" applyAlignment="1">
      <alignment horizontal="center"/>
    </xf>
    <xf numFmtId="0" fontId="51" fillId="39" borderId="90" xfId="0" applyFont="1" applyFill="1" applyBorder="1"/>
    <xf numFmtId="0" fontId="51" fillId="39" borderId="91" xfId="0" applyFont="1" applyFill="1" applyBorder="1"/>
    <xf numFmtId="0" fontId="51" fillId="39" borderId="79" xfId="0" applyFont="1" applyFill="1" applyBorder="1" applyAlignment="1">
      <alignment horizontal="center"/>
    </xf>
    <xf numFmtId="0" fontId="51" fillId="39" borderId="0" xfId="0" applyFont="1" applyFill="1" applyBorder="1" applyAlignment="1">
      <alignment horizontal="center"/>
    </xf>
    <xf numFmtId="0" fontId="51" fillId="39" borderId="92" xfId="0" applyFont="1" applyFill="1" applyBorder="1" applyAlignment="1">
      <alignment horizontal="center"/>
    </xf>
    <xf numFmtId="0" fontId="51" fillId="39" borderId="93" xfId="0" applyFont="1" applyFill="1" applyBorder="1" applyAlignment="1">
      <alignment horizontal="center"/>
    </xf>
    <xf numFmtId="0" fontId="51" fillId="39" borderId="94" xfId="0" applyFont="1" applyFill="1" applyBorder="1" applyAlignment="1">
      <alignment horizontal="center"/>
    </xf>
    <xf numFmtId="0" fontId="51" fillId="39" borderId="0" xfId="0" applyFont="1" applyFill="1" applyBorder="1" applyAlignment="1">
      <alignment horizontal="left"/>
    </xf>
    <xf numFmtId="0" fontId="51" fillId="39" borderId="79" xfId="0" applyFont="1" applyFill="1" applyBorder="1"/>
    <xf numFmtId="0" fontId="51" fillId="39" borderId="0" xfId="0" applyFont="1" applyFill="1" applyBorder="1"/>
    <xf numFmtId="0" fontId="51" fillId="39" borderId="92" xfId="0" applyFont="1" applyFill="1" applyBorder="1"/>
    <xf numFmtId="0" fontId="51" fillId="39" borderId="95" xfId="0" applyFont="1" applyFill="1" applyBorder="1"/>
    <xf numFmtId="0" fontId="51" fillId="39" borderId="93" xfId="0" applyFont="1" applyFill="1" applyBorder="1"/>
    <xf numFmtId="0" fontId="51" fillId="39" borderId="94" xfId="0" applyFont="1" applyFill="1" applyBorder="1"/>
    <xf numFmtId="0" fontId="51" fillId="39" borderId="80" xfId="0" applyFont="1" applyFill="1" applyBorder="1" applyAlignment="1">
      <alignment horizontal="left"/>
    </xf>
    <xf numFmtId="0" fontId="51" fillId="39" borderId="82" xfId="0" applyFont="1" applyFill="1" applyBorder="1" applyAlignment="1">
      <alignment horizontal="left"/>
    </xf>
    <xf numFmtId="0" fontId="51" fillId="39" borderId="96" xfId="0" applyFont="1" applyFill="1" applyBorder="1" applyAlignment="1">
      <alignment horizontal="left"/>
    </xf>
    <xf numFmtId="0" fontId="51" fillId="39" borderId="97" xfId="0" applyFont="1" applyFill="1" applyBorder="1" applyAlignment="1">
      <alignment horizontal="left"/>
    </xf>
    <xf numFmtId="0" fontId="51" fillId="39" borderId="98" xfId="0" applyFont="1" applyFill="1" applyBorder="1" applyAlignment="1">
      <alignment horizontal="left"/>
    </xf>
    <xf numFmtId="0" fontId="51" fillId="39" borderId="99" xfId="0" applyFont="1" applyFill="1" applyBorder="1" applyAlignment="1">
      <alignment horizontal="left"/>
    </xf>
    <xf numFmtId="0" fontId="51" fillId="39" borderId="100" xfId="0" applyFont="1" applyFill="1" applyBorder="1" applyAlignment="1">
      <alignment horizontal="left"/>
    </xf>
    <xf numFmtId="0" fontId="51" fillId="39" borderId="101" xfId="0" applyFont="1" applyFill="1" applyBorder="1" applyAlignment="1">
      <alignment horizontal="left"/>
    </xf>
    <xf numFmtId="0" fontId="51" fillId="39" borderId="74" xfId="0" applyFont="1" applyFill="1" applyBorder="1" applyProtection="1"/>
    <xf numFmtId="0" fontId="51" fillId="39" borderId="103" xfId="0" applyFont="1" applyFill="1" applyBorder="1" applyProtection="1"/>
    <xf numFmtId="0" fontId="51" fillId="39" borderId="104" xfId="0" applyFont="1" applyFill="1" applyBorder="1" applyProtection="1"/>
    <xf numFmtId="0" fontId="92" fillId="39" borderId="105" xfId="0" applyFont="1" applyFill="1" applyBorder="1" applyProtection="1"/>
    <xf numFmtId="0" fontId="51" fillId="39" borderId="86" xfId="0" applyFont="1" applyFill="1" applyBorder="1" applyProtection="1"/>
    <xf numFmtId="0" fontId="92" fillId="39" borderId="88" xfId="0" applyFont="1" applyFill="1" applyBorder="1" applyProtection="1"/>
    <xf numFmtId="0" fontId="51" fillId="39" borderId="106" xfId="0" applyFont="1" applyFill="1" applyBorder="1" applyProtection="1"/>
    <xf numFmtId="0" fontId="51" fillId="39" borderId="107" xfId="0" applyFont="1" applyFill="1" applyBorder="1" applyProtection="1"/>
    <xf numFmtId="0" fontId="92" fillId="39" borderId="108" xfId="0" applyFont="1" applyFill="1" applyBorder="1" applyProtection="1"/>
    <xf numFmtId="0" fontId="92" fillId="39" borderId="88" xfId="0" applyFont="1" applyFill="1" applyBorder="1" applyAlignment="1"/>
    <xf numFmtId="0" fontId="92" fillId="39" borderId="108" xfId="0" applyFont="1" applyFill="1" applyBorder="1" applyAlignment="1"/>
    <xf numFmtId="0" fontId="51" fillId="39" borderId="105" xfId="0" applyFont="1" applyFill="1" applyBorder="1" applyProtection="1"/>
    <xf numFmtId="0" fontId="51" fillId="39" borderId="108" xfId="0" applyFont="1" applyFill="1" applyBorder="1" applyProtection="1"/>
    <xf numFmtId="0" fontId="51" fillId="39" borderId="0" xfId="43" applyFont="1" applyFill="1" applyBorder="1" applyAlignment="1">
      <alignment horizontal="left" vertical="center"/>
    </xf>
    <xf numFmtId="0" fontId="51" fillId="39" borderId="109" xfId="43" applyFont="1" applyFill="1" applyBorder="1" applyAlignment="1">
      <alignment horizontal="left"/>
    </xf>
    <xf numFmtId="0" fontId="51" fillId="39" borderId="102" xfId="43" applyFont="1" applyFill="1" applyBorder="1" applyAlignment="1">
      <alignment horizontal="left"/>
    </xf>
    <xf numFmtId="0" fontId="51" fillId="39" borderId="110" xfId="43" applyFont="1" applyFill="1" applyBorder="1"/>
    <xf numFmtId="0" fontId="51" fillId="39" borderId="109" xfId="43" applyFont="1" applyFill="1" applyBorder="1"/>
    <xf numFmtId="0" fontId="51" fillId="39" borderId="109" xfId="0" applyFont="1" applyFill="1" applyBorder="1"/>
    <xf numFmtId="0" fontId="51" fillId="39" borderId="110" xfId="0" applyFont="1" applyFill="1" applyBorder="1"/>
    <xf numFmtId="0" fontId="89" fillId="33" borderId="0" xfId="0" applyFont="1" applyFill="1" applyBorder="1" applyAlignment="1">
      <alignment horizontal="left"/>
    </xf>
    <xf numFmtId="0" fontId="91" fillId="33" borderId="0" xfId="0" applyFont="1" applyFill="1" applyBorder="1"/>
    <xf numFmtId="0" fontId="89" fillId="33" borderId="0" xfId="0" applyFont="1" applyFill="1" applyBorder="1" applyAlignment="1">
      <alignment horizontal="right"/>
    </xf>
    <xf numFmtId="0" fontId="89" fillId="33" borderId="0" xfId="0" applyFont="1" applyFill="1" applyBorder="1" applyAlignment="1" applyProtection="1">
      <alignment horizontal="right"/>
      <protection locked="0" hidden="1"/>
    </xf>
    <xf numFmtId="0" fontId="89" fillId="33" borderId="0" xfId="42" applyFont="1" applyFill="1" applyBorder="1"/>
    <xf numFmtId="0" fontId="89" fillId="33" borderId="0" xfId="42" applyFont="1" applyFill="1"/>
    <xf numFmtId="0" fontId="89" fillId="33" borderId="36" xfId="0" applyFont="1" applyFill="1" applyBorder="1" applyProtection="1"/>
    <xf numFmtId="0" fontId="89" fillId="33" borderId="37" xfId="0" applyFont="1" applyFill="1" applyBorder="1" applyProtection="1"/>
    <xf numFmtId="0" fontId="89" fillId="33" borderId="36" xfId="0" applyFont="1" applyFill="1" applyBorder="1" applyAlignment="1" applyProtection="1">
      <alignment horizontal="right"/>
    </xf>
    <xf numFmtId="0" fontId="89" fillId="33" borderId="0" xfId="0" applyFont="1" applyFill="1" applyAlignment="1">
      <alignment horizontal="left" vertical="center"/>
    </xf>
    <xf numFmtId="0" fontId="89" fillId="33" borderId="0" xfId="43" applyFont="1" applyFill="1" applyBorder="1"/>
    <xf numFmtId="0" fontId="89" fillId="33" borderId="0" xfId="43" applyFont="1" applyFill="1"/>
    <xf numFmtId="0" fontId="89" fillId="34" borderId="0" xfId="0" applyFont="1" applyFill="1" applyProtection="1">
      <protection locked="0"/>
    </xf>
    <xf numFmtId="14" fontId="89" fillId="34" borderId="0" xfId="0" applyNumberFormat="1" applyFont="1" applyFill="1"/>
    <xf numFmtId="0" fontId="89" fillId="34" borderId="0" xfId="0" applyFont="1" applyFill="1" applyAlignment="1">
      <alignment horizontal="left"/>
    </xf>
    <xf numFmtId="14" fontId="89" fillId="34" borderId="0" xfId="0" applyNumberFormat="1" applyFont="1" applyFill="1" applyAlignment="1">
      <alignment horizontal="left"/>
    </xf>
    <xf numFmtId="0" fontId="89" fillId="34" borderId="0" xfId="0" applyFont="1" applyFill="1" applyAlignment="1">
      <alignment horizontal="right"/>
    </xf>
    <xf numFmtId="0" fontId="89" fillId="34" borderId="0" xfId="0" applyFont="1" applyFill="1" applyBorder="1" applyProtection="1">
      <protection locked="0"/>
    </xf>
    <xf numFmtId="0" fontId="91" fillId="34" borderId="0" xfId="0" applyFont="1" applyFill="1" applyBorder="1"/>
    <xf numFmtId="0" fontId="89" fillId="34" borderId="0" xfId="0" applyFont="1" applyFill="1" applyAlignment="1" applyProtection="1">
      <alignment horizontal="left"/>
    </xf>
    <xf numFmtId="0" fontId="89" fillId="34" borderId="0" xfId="0" applyFont="1" applyFill="1" applyBorder="1" applyAlignment="1" applyProtection="1">
      <alignment horizontal="left"/>
    </xf>
    <xf numFmtId="165" fontId="89" fillId="34" borderId="0" xfId="0" applyNumberFormat="1" applyFont="1" applyFill="1" applyBorder="1" applyAlignment="1" applyProtection="1">
      <alignment horizontal="left"/>
    </xf>
    <xf numFmtId="166" fontId="89" fillId="34" borderId="0" xfId="0" applyNumberFormat="1" applyFont="1" applyFill="1" applyBorder="1" applyAlignment="1" applyProtection="1">
      <alignment horizontal="left"/>
    </xf>
    <xf numFmtId="0" fontId="89" fillId="34" borderId="0" xfId="0" applyFont="1" applyFill="1" applyBorder="1" applyAlignment="1" applyProtection="1">
      <alignment horizontal="center"/>
    </xf>
    <xf numFmtId="0" fontId="89" fillId="34" borderId="0" xfId="43" applyFont="1" applyFill="1"/>
    <xf numFmtId="0" fontId="89" fillId="34" borderId="0" xfId="43" applyFont="1" applyFill="1" applyBorder="1" applyAlignment="1">
      <alignment horizontal="left"/>
    </xf>
    <xf numFmtId="15" fontId="89" fillId="34" borderId="0" xfId="43" applyNumberFormat="1" applyFont="1" applyFill="1" applyBorder="1" applyAlignment="1">
      <alignment horizontal="left"/>
    </xf>
    <xf numFmtId="15" fontId="89" fillId="34" borderId="0" xfId="43" applyNumberFormat="1" applyFont="1" applyFill="1" applyBorder="1" applyAlignment="1" applyProtection="1">
      <alignment horizontal="left"/>
      <protection locked="0"/>
    </xf>
    <xf numFmtId="0" fontId="89" fillId="34" borderId="0" xfId="43" applyFont="1" applyFill="1" applyAlignment="1">
      <alignment horizontal="left"/>
    </xf>
    <xf numFmtId="0" fontId="89" fillId="34" borderId="0" xfId="43" applyFont="1" applyFill="1" applyBorder="1" applyAlignment="1" applyProtection="1">
      <alignment horizontal="left"/>
      <protection locked="0"/>
    </xf>
    <xf numFmtId="1" fontId="89" fillId="34" borderId="0" xfId="43" applyNumberFormat="1" applyFont="1" applyFill="1" applyBorder="1" applyAlignment="1">
      <alignment horizontal="left"/>
    </xf>
    <xf numFmtId="0" fontId="89" fillId="35" borderId="0" xfId="0" applyFont="1" applyFill="1" applyBorder="1" applyAlignment="1" applyProtection="1">
      <alignment horizontal="center"/>
    </xf>
    <xf numFmtId="0" fontId="89" fillId="35" borderId="0" xfId="0" applyFont="1" applyFill="1" applyProtection="1">
      <protection locked="0"/>
    </xf>
    <xf numFmtId="0" fontId="91" fillId="35" borderId="0" xfId="0" applyFont="1" applyFill="1"/>
    <xf numFmtId="0" fontId="93" fillId="35" borderId="0" xfId="0" applyFont="1" applyFill="1" applyBorder="1"/>
    <xf numFmtId="49" fontId="89" fillId="35" borderId="0" xfId="0" applyNumberFormat="1" applyFont="1" applyFill="1" applyBorder="1" applyAlignment="1">
      <alignment horizontal="left" vertical="top" wrapText="1"/>
    </xf>
    <xf numFmtId="0" fontId="89" fillId="35" borderId="0" xfId="0" applyFont="1" applyFill="1" applyBorder="1" applyAlignment="1">
      <alignment horizontal="left"/>
    </xf>
    <xf numFmtId="0" fontId="89" fillId="35" borderId="0" xfId="0" applyFont="1" applyFill="1" applyBorder="1" applyAlignment="1"/>
    <xf numFmtId="1" fontId="89" fillId="35" borderId="0" xfId="0" applyNumberFormat="1" applyFont="1" applyFill="1" applyBorder="1" applyAlignment="1">
      <alignment horizontal="left"/>
    </xf>
    <xf numFmtId="0" fontId="89" fillId="35" borderId="0" xfId="0" applyFont="1" applyFill="1" applyBorder="1" applyProtection="1">
      <protection locked="0" hidden="1"/>
    </xf>
    <xf numFmtId="0" fontId="89" fillId="35" borderId="0" xfId="42" applyFont="1" applyFill="1" applyBorder="1"/>
    <xf numFmtId="171" fontId="89" fillId="35" borderId="0" xfId="42" applyNumberFormat="1" applyFont="1" applyFill="1" applyBorder="1" applyAlignment="1">
      <alignment horizontal="left"/>
    </xf>
    <xf numFmtId="0" fontId="89" fillId="35" borderId="0" xfId="42" applyFont="1" applyFill="1" applyBorder="1" applyAlignment="1">
      <alignment horizontal="left"/>
    </xf>
    <xf numFmtId="0" fontId="89" fillId="35" borderId="0" xfId="42" applyFont="1" applyFill="1"/>
    <xf numFmtId="0" fontId="89" fillId="35" borderId="0" xfId="43" applyFont="1" applyFill="1"/>
    <xf numFmtId="0" fontId="89" fillId="35" borderId="0" xfId="43" applyFont="1" applyFill="1" applyBorder="1"/>
    <xf numFmtId="0" fontId="89" fillId="35" borderId="0" xfId="43" applyFont="1" applyFill="1" applyAlignment="1">
      <alignment vertical="top" wrapText="1"/>
    </xf>
    <xf numFmtId="0" fontId="89" fillId="35" borderId="0" xfId="43" applyFont="1" applyFill="1" applyAlignment="1">
      <alignment horizontal="left" vertical="top"/>
    </xf>
    <xf numFmtId="0" fontId="89" fillId="36" borderId="0" xfId="43" applyFont="1" applyFill="1"/>
    <xf numFmtId="0" fontId="90" fillId="37" borderId="0" xfId="42" applyFont="1" applyFill="1" applyBorder="1"/>
    <xf numFmtId="0" fontId="90" fillId="37" borderId="0" xfId="42" applyFont="1" applyFill="1"/>
    <xf numFmtId="20" fontId="10" fillId="0" borderId="0" xfId="0" quotePrefix="1" applyNumberFormat="1" applyFont="1"/>
    <xf numFmtId="2" fontId="20" fillId="0" borderId="0" xfId="42" applyNumberFormat="1" applyFont="1"/>
    <xf numFmtId="0" fontId="0" fillId="0" borderId="0" xfId="0" applyAlignment="1"/>
    <xf numFmtId="0" fontId="76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74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8" borderId="23" xfId="0" applyFill="1" applyBorder="1"/>
    <xf numFmtId="0" fontId="0" fillId="0" borderId="0" xfId="0" applyAlignment="1">
      <alignment horizontal="left"/>
    </xf>
    <xf numFmtId="0" fontId="10" fillId="28" borderId="0" xfId="0" applyFont="1" applyFill="1" applyAlignment="1">
      <alignment wrapText="1"/>
    </xf>
    <xf numFmtId="0" fontId="10" fillId="28" borderId="111" xfId="0" applyFont="1" applyFill="1" applyBorder="1"/>
    <xf numFmtId="0" fontId="10" fillId="28" borderId="112" xfId="0" applyFont="1" applyFill="1" applyBorder="1"/>
    <xf numFmtId="0" fontId="10" fillId="28" borderId="113" xfId="0" applyFont="1" applyFill="1" applyBorder="1" applyProtection="1">
      <protection locked="0"/>
    </xf>
    <xf numFmtId="0" fontId="10" fillId="28" borderId="114" xfId="0" applyFont="1" applyFill="1" applyBorder="1"/>
    <xf numFmtId="0" fontId="10" fillId="28" borderId="113" xfId="0" applyFont="1" applyFill="1" applyBorder="1" applyAlignment="1">
      <alignment wrapText="1"/>
    </xf>
    <xf numFmtId="0" fontId="10" fillId="28" borderId="114" xfId="0" applyFont="1" applyFill="1" applyBorder="1" applyAlignment="1">
      <alignment wrapText="1"/>
    </xf>
    <xf numFmtId="0" fontId="10" fillId="28" borderId="113" xfId="0" applyFont="1" applyFill="1" applyBorder="1"/>
    <xf numFmtId="0" fontId="10" fillId="0" borderId="114" xfId="0" applyFont="1" applyFill="1" applyBorder="1"/>
    <xf numFmtId="0" fontId="10" fillId="28" borderId="115" xfId="0" applyFont="1" applyFill="1" applyBorder="1"/>
    <xf numFmtId="0" fontId="10" fillId="28" borderId="116" xfId="0" applyFont="1" applyFill="1" applyBorder="1"/>
    <xf numFmtId="0" fontId="51" fillId="0" borderId="114" xfId="0" applyFont="1" applyFill="1" applyBorder="1"/>
    <xf numFmtId="0" fontId="0" fillId="28" borderId="0" xfId="0" applyFill="1" applyAlignment="1">
      <alignment horizontal="left"/>
    </xf>
    <xf numFmtId="0" fontId="10" fillId="28" borderId="0" xfId="42" applyFont="1" applyFill="1" applyAlignment="1" applyProtection="1">
      <alignment wrapText="1"/>
      <protection locked="0"/>
    </xf>
    <xf numFmtId="0" fontId="10" fillId="28" borderId="0" xfId="42" applyFont="1" applyFill="1" applyAlignment="1">
      <alignment wrapText="1"/>
    </xf>
    <xf numFmtId="0" fontId="0" fillId="28" borderId="0" xfId="0" applyFill="1" applyAlignment="1">
      <alignment wrapText="1"/>
    </xf>
    <xf numFmtId="0" fontId="10" fillId="28" borderId="0" xfId="42" applyFont="1" applyFill="1"/>
    <xf numFmtId="0" fontId="51" fillId="39" borderId="86" xfId="0" applyFont="1" applyFill="1" applyBorder="1" applyAlignment="1"/>
    <xf numFmtId="0" fontId="51" fillId="39" borderId="87" xfId="0" applyFont="1" applyFill="1" applyBorder="1" applyAlignment="1"/>
    <xf numFmtId="0" fontId="51" fillId="39" borderId="83" xfId="0" applyFont="1" applyFill="1" applyBorder="1" applyAlignment="1"/>
    <xf numFmtId="0" fontId="51" fillId="39" borderId="84" xfId="0" applyFont="1" applyFill="1" applyBorder="1" applyAlignment="1"/>
    <xf numFmtId="0" fontId="51" fillId="39" borderId="89" xfId="0" applyFont="1" applyFill="1" applyBorder="1" applyAlignment="1"/>
    <xf numFmtId="0" fontId="51" fillId="39" borderId="90" xfId="0" applyFont="1" applyFill="1" applyBorder="1" applyAlignment="1"/>
    <xf numFmtId="0" fontId="51" fillId="39" borderId="0" xfId="0" applyFont="1" applyFill="1" applyBorder="1" applyAlignment="1">
      <alignment horizontal="left" vertical="top" wrapText="1"/>
    </xf>
    <xf numFmtId="0" fontId="21" fillId="32" borderId="0" xfId="0" applyFont="1" applyFill="1" applyBorder="1" applyAlignment="1">
      <alignment horizontal="left" vertical="top" wrapText="1"/>
    </xf>
    <xf numFmtId="0" fontId="89" fillId="34" borderId="0" xfId="0" applyFont="1" applyFill="1" applyProtection="1"/>
    <xf numFmtId="0" fontId="51" fillId="39" borderId="0" xfId="0" applyFont="1" applyFill="1" applyBorder="1" applyAlignment="1" applyProtection="1">
      <alignment horizontal="left"/>
      <protection locked="0"/>
    </xf>
    <xf numFmtId="0" fontId="21" fillId="32" borderId="0" xfId="0" applyFont="1" applyFill="1" applyBorder="1" applyAlignment="1" applyProtection="1">
      <alignment horizontal="left"/>
      <protection locked="0"/>
    </xf>
    <xf numFmtId="0" fontId="85" fillId="32" borderId="0" xfId="0" applyFont="1" applyFill="1" applyBorder="1" applyAlignment="1">
      <alignment horizontal="center" vertical="top"/>
    </xf>
    <xf numFmtId="0" fontId="51" fillId="39" borderId="0" xfId="0" applyFont="1" applyFill="1" applyBorder="1" applyAlignment="1">
      <alignment horizontal="left"/>
    </xf>
    <xf numFmtId="0" fontId="21" fillId="32" borderId="0" xfId="0" applyFont="1" applyFill="1" applyBorder="1" applyAlignment="1">
      <alignment horizontal="left"/>
    </xf>
    <xf numFmtId="0" fontId="89" fillId="34" borderId="0" xfId="0" applyFont="1" applyFill="1" applyBorder="1" applyAlignment="1">
      <alignment horizontal="left" vertical="top" wrapText="1"/>
    </xf>
    <xf numFmtId="0" fontId="51" fillId="39" borderId="0" xfId="42" applyFont="1" applyFill="1" applyBorder="1" applyAlignment="1">
      <alignment horizontal="left" vertical="top"/>
    </xf>
    <xf numFmtId="0" fontId="10" fillId="32" borderId="0" xfId="42" applyFont="1" applyFill="1" applyAlignment="1">
      <alignment horizontal="left" vertical="top"/>
    </xf>
    <xf numFmtId="0" fontId="51" fillId="39" borderId="0" xfId="43" applyFont="1" applyFill="1" applyBorder="1" applyAlignment="1">
      <alignment horizontal="left" vertical="top"/>
    </xf>
    <xf numFmtId="0" fontId="10" fillId="32" borderId="0" xfId="43" applyFill="1" applyBorder="1" applyAlignment="1">
      <alignment horizontal="left" vertical="top"/>
    </xf>
    <xf numFmtId="0" fontId="89" fillId="35" borderId="0" xfId="0" applyFont="1" applyFill="1" applyBorder="1" applyAlignment="1">
      <alignment vertical="top" wrapText="1"/>
    </xf>
    <xf numFmtId="0" fontId="89" fillId="35" borderId="0" xfId="0" applyFont="1" applyFill="1" applyBorder="1" applyAlignment="1">
      <alignment horizontal="left" vertical="top" wrapText="1"/>
    </xf>
    <xf numFmtId="0" fontId="21" fillId="32" borderId="0" xfId="0" applyFont="1" applyFill="1" applyBorder="1" applyAlignment="1">
      <alignment wrapText="1"/>
    </xf>
    <xf numFmtId="0" fontId="51" fillId="39" borderId="87" xfId="0" applyFont="1" applyFill="1" applyBorder="1" applyAlignment="1" applyProtection="1">
      <alignment horizontal="left" vertical="center" wrapText="1"/>
    </xf>
    <xf numFmtId="0" fontId="51" fillId="39" borderId="107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0" fillId="0" borderId="28" xfId="0" applyFont="1" applyFill="1" applyBorder="1" applyAlignment="1">
      <alignment horizontal="left" wrapText="1"/>
    </xf>
    <xf numFmtId="0" fontId="20" fillId="0" borderId="29" xfId="0" applyFont="1" applyFill="1" applyBorder="1" applyAlignment="1">
      <alignment horizontal="left" wrapText="1"/>
    </xf>
    <xf numFmtId="0" fontId="21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6" fillId="0" borderId="10" xfId="0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1" fillId="0" borderId="30" xfId="0" applyFont="1" applyBorder="1" applyAlignment="1">
      <alignment horizontal="center" vertical="top" wrapText="1"/>
    </xf>
    <xf numFmtId="0" fontId="21" fillId="0" borderId="31" xfId="0" applyFont="1" applyBorder="1" applyAlignment="1">
      <alignment horizontal="center" vertical="top" wrapText="1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6" fillId="0" borderId="41" xfId="0" applyFont="1" applyBorder="1" applyAlignment="1">
      <alignment horizontal="center" vertical="top" wrapText="1"/>
    </xf>
    <xf numFmtId="0" fontId="26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22" xfId="0" applyFont="1" applyBorder="1" applyAlignment="1">
      <alignment horizontal="right" vertical="top" wrapText="1"/>
    </xf>
    <xf numFmtId="0" fontId="26" fillId="0" borderId="42" xfId="0" applyFont="1" applyBorder="1" applyAlignment="1">
      <alignment vertical="top" wrapText="1"/>
    </xf>
    <xf numFmtId="0" fontId="26" fillId="0" borderId="43" xfId="0" applyFont="1" applyBorder="1" applyAlignment="1">
      <alignment vertical="top" wrapText="1"/>
    </xf>
    <xf numFmtId="0" fontId="26" fillId="0" borderId="20" xfId="0" applyFont="1" applyBorder="1" applyAlignment="1">
      <alignment vertical="top" wrapText="1"/>
    </xf>
    <xf numFmtId="0" fontId="21" fillId="0" borderId="42" xfId="0" applyFont="1" applyBorder="1" applyAlignment="1">
      <alignment horizontal="center" vertical="top" wrapText="1"/>
    </xf>
    <xf numFmtId="0" fontId="21" fillId="0" borderId="43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1" fillId="0" borderId="41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2" fillId="0" borderId="42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87" fillId="31" borderId="0" xfId="42" applyFont="1" applyFill="1" applyAlignment="1">
      <alignment horizontal="center" vertical="center"/>
    </xf>
    <xf numFmtId="0" fontId="14" fillId="0" borderId="0" xfId="0" applyFont="1" applyFill="1" applyBorder="1" applyAlignment="1">
      <alignment horizontal="left" vertical="top" wrapText="1"/>
    </xf>
    <xf numFmtId="0" fontId="14" fillId="0" borderId="23" xfId="0" applyFont="1" applyFill="1" applyBorder="1" applyAlignment="1">
      <alignment horizontal="left" vertical="top" wrapText="1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10" fillId="0" borderId="0" xfId="0" applyFont="1" applyFill="1" applyAlignment="1">
      <alignment horizontal="left" vertical="top" wrapText="1"/>
    </xf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0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51" fillId="0" borderId="0" xfId="0" applyFont="1" applyFill="1" applyBorder="1"/>
    <xf numFmtId="168" fontId="10" fillId="0" borderId="0" xfId="42" applyNumberFormat="1" applyFont="1" applyFill="1" applyBorder="1"/>
    <xf numFmtId="0" fontId="74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8" borderId="0" xfId="0" applyFont="1" applyFill="1"/>
    <xf numFmtId="0" fontId="0" fillId="28" borderId="0" xfId="0" applyFont="1" applyFill="1"/>
    <xf numFmtId="0" fontId="76" fillId="28" borderId="0" xfId="42" applyFont="1" applyFill="1" applyBorder="1" applyAlignment="1">
      <alignment horizontal="center"/>
    </xf>
    <xf numFmtId="0" fontId="76" fillId="28" borderId="0" xfId="131" applyFont="1" applyFill="1" applyBorder="1" applyAlignment="1">
      <alignment horizontal="center"/>
    </xf>
    <xf numFmtId="0" fontId="10" fillId="28" borderId="0" xfId="0" applyFont="1" applyFill="1" applyAlignment="1">
      <alignment horizontal="left"/>
    </xf>
    <xf numFmtId="0" fontId="12" fillId="28" borderId="0" xfId="131" applyFont="1" applyFill="1" applyBorder="1"/>
    <xf numFmtId="0" fontId="10" fillId="28" borderId="0" xfId="131" applyFont="1" applyFill="1" applyBorder="1"/>
    <xf numFmtId="0" fontId="10" fillId="28" borderId="0" xfId="42" applyFont="1" applyFill="1" applyBorder="1"/>
    <xf numFmtId="0" fontId="12" fillId="28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8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8" borderId="0" xfId="132" applyFont="1" applyFill="1" applyBorder="1" applyAlignment="1">
      <alignment horizontal="righ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1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FFCD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974706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17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6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Oplossing" val="0"/>
</file>

<file path=xl/ctrlProps/ctrlProp252.xml><?xml version="1.0" encoding="utf-8"?>
<formControlPr xmlns="http://schemas.microsoft.com/office/spreadsheetml/2009/9/main" objectType="Drop" dropStyle="combo" dx="16" fmlaLink="PedBerMedIV!$F$6" fmlaRange="tblOplossing" val="0"/>
</file>

<file path=xl/ctrlProps/ctrlProp253.xml><?xml version="1.0" encoding="utf-8"?>
<formControlPr xmlns="http://schemas.microsoft.com/office/spreadsheetml/2009/9/main" objectType="Drop" dropStyle="combo" dx="16" fmlaLink="PedBerMedIV!$F$7" fmlaRange="tblOplossing" val="0"/>
</file>

<file path=xl/ctrlProps/ctrlProp254.xml><?xml version="1.0" encoding="utf-8"?>
<formControlPr xmlns="http://schemas.microsoft.com/office/spreadsheetml/2009/9/main" objectType="Drop" dropStyle="combo" dx="16" fmlaLink="PedBerMedIV!$F$8" fmlaRange="tblOplossing" val="0"/>
</file>

<file path=xl/ctrlProps/ctrlProp255.xml><?xml version="1.0" encoding="utf-8"?>
<formControlPr xmlns="http://schemas.microsoft.com/office/spreadsheetml/2009/9/main" objectType="Drop" dropStyle="combo" dx="16" fmlaLink="PedBerMedIV!$F$9" fmlaRange="tblOplossing" val="0"/>
</file>

<file path=xl/ctrlProps/ctrlProp256.xml><?xml version="1.0" encoding="utf-8"?>
<formControlPr xmlns="http://schemas.microsoft.com/office/spreadsheetml/2009/9/main" objectType="Drop" dropStyle="combo" dx="16" fmlaLink="PedBerMedIV!$F$10" fmlaRange="tblOplossing" val="0"/>
</file>

<file path=xl/ctrlProps/ctrlProp257.xml><?xml version="1.0" encoding="utf-8"?>
<formControlPr xmlns="http://schemas.microsoft.com/office/spreadsheetml/2009/9/main" objectType="Drop" dropStyle="combo" dx="16" fmlaLink="PedBerMedIV!$F$11" fmlaRange="tblOplossing" val="0"/>
</file>

<file path=xl/ctrlProps/ctrlProp258.xml><?xml version="1.0" encoding="utf-8"?>
<formControlPr xmlns="http://schemas.microsoft.com/office/spreadsheetml/2009/9/main" objectType="Drop" dropStyle="combo" dx="16" fmlaLink="PedBerMedIV!$F$12" fmlaRange="tblOplossing" val="0"/>
</file>

<file path=xl/ctrlProps/ctrlProp259.xml><?xml version="1.0" encoding="utf-8"?>
<formControlPr xmlns="http://schemas.microsoft.com/office/spreadsheetml/2009/9/main" objectType="Drop" dropStyle="combo" dx="16" fmlaLink="PedBerMedIV!$F$13" fmlaRange="tblOplossing" val="0"/>
</file>

<file path=xl/ctrlProps/ctrlProp260.xml><?xml version="1.0" encoding="utf-8"?>
<formControlPr xmlns="http://schemas.microsoft.com/office/spreadsheetml/2009/9/main" objectType="Drop" dropStyle="combo" dx="16" fmlaLink="PedBerMedIV!$F$23" fmlaRange="tblOplossing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Oplossing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Oplossing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Oplossing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Oplossing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Oplossing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Oplossing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Oplossing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Oplossing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Oplossing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Oplossing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B$3" max="24" min="1" page="10"/>
</file>

<file path=xl/ctrlProps/ctrlProp347.xml><?xml version="1.0" encoding="utf-8"?>
<formControlPr xmlns="http://schemas.microsoft.com/office/spreadsheetml/2009/9/main" objectType="Spin" dx="15" fmlaLink="PedBerEnt!$C$3" max="10000" min="1" page="10"/>
</file>

<file path=xl/ctrlProps/ctrlProp348.xml><?xml version="1.0" encoding="utf-8"?>
<formControlPr xmlns="http://schemas.microsoft.com/office/spreadsheetml/2009/9/main" objectType="Drop" dropStyle="combo" dx="16" fmlaLink="PedBerEnt!$F$3" fmlaRange="tblPerOs" sel="0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G$3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B$4" max="12" min="1" page="10"/>
</file>

<file path=xl/ctrlProps/ctrlProp370.xml><?xml version="1.0" encoding="utf-8"?>
<formControlPr xmlns="http://schemas.microsoft.com/office/spreadsheetml/2009/9/main" objectType="Spin" dx="15" fmlaLink="PedBerEnt!$C$4" max="100" page="10" val="0"/>
</file>

<file path=xl/ctrlProps/ctrlProp371.xml><?xml version="1.0" encoding="utf-8"?>
<formControlPr xmlns="http://schemas.microsoft.com/office/spreadsheetml/2009/9/main" objectType="Drop" dropStyle="combo" dx="16" fmlaLink="PedBerEnt!$F$4" fmlaRange="tblPoeder" sel="0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B$5" max="12" min="1" page="10"/>
</file>

<file path=xl/ctrlProps/ctrlProp374.xml><?xml version="1.0" encoding="utf-8"?>
<formControlPr xmlns="http://schemas.microsoft.com/office/spreadsheetml/2009/9/main" objectType="Spin" dx="15" fmlaLink="PedBerEnt!$C$5" max="100" page="10" val="0"/>
</file>

<file path=xl/ctrlProps/ctrlProp375.xml><?xml version="1.0" encoding="utf-8"?>
<formControlPr xmlns="http://schemas.microsoft.com/office/spreadsheetml/2009/9/main" objectType="Drop" dropStyle="combo" dx="16" fmlaLink="PedBerEnt!$F$5" fmlaRange="tblPoeder" sel="0" val="0"/>
</file>

<file path=xl/ctrlProps/ctrlProp376.xml><?xml version="1.0" encoding="utf-8"?>
<formControlPr xmlns="http://schemas.microsoft.com/office/spreadsheetml/2009/9/main" objectType="Spin" dx="15" fmlaLink="PedBerEnt!$B$6" max="12" min="1" page="10"/>
</file>

<file path=xl/ctrlProps/ctrlProp377.xml><?xml version="1.0" encoding="utf-8"?>
<formControlPr xmlns="http://schemas.microsoft.com/office/spreadsheetml/2009/9/main" objectType="Spin" dx="15" fmlaLink="PedBerEnt!$C$6" max="100" page="10" val="0"/>
</file>

<file path=xl/ctrlProps/ctrlProp378.xml><?xml version="1.0" encoding="utf-8"?>
<formControlPr xmlns="http://schemas.microsoft.com/office/spreadsheetml/2009/9/main" objectType="Drop" dropStyle="combo" dx="16" fmlaLink="PedBerEnt!$F$6" fmlaRange="tblPoeder" sel="0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3" fmlaRange="Tbl_Neo_MedIV" sel="8" val="0"/>
</file>

<file path=xl/ctrlProps/ctrlProp608.xml><?xml version="1.0" encoding="utf-8"?>
<formControlPr xmlns="http://schemas.microsoft.com/office/spreadsheetml/2009/9/main" objectType="Drop" dropStyle="combo" dx="16" fmlaLink="NeoBerInfB!$B$24" fmlaRange="Tbl_Neo_MedIV" val="0"/>
</file>

<file path=xl/ctrlProps/ctrlProp609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0.xml><?xml version="1.0" encoding="utf-8"?>
<formControlPr xmlns="http://schemas.microsoft.com/office/spreadsheetml/2009/9/main" objectType="Drop" dropStyle="combo" dx="16" fmlaLink="NeoBerInfB!$B$26" fmlaRange="Tbl_Neo_MedIV" val="7"/>
</file>

<file path=xl/ctrlProps/ctrlProp611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4.xml><?xml version="1.0" encoding="utf-8"?>
<formControlPr xmlns="http://schemas.microsoft.com/office/spreadsheetml/2009/9/main" objectType="Spin" dx="15" fmlaLink="NeoBerInfB!$B$22" inc="5" max="10" page="10" val="10"/>
</file>

<file path=xl/ctrlProps/ctrlProp615.xml><?xml version="1.0" encoding="utf-8"?>
<formControlPr xmlns="http://schemas.microsoft.com/office/spreadsheetml/2009/9/main" objectType="Spin" dx="15" fmlaLink="NeoBerInfB!$F$23" max="30000" page="10" val="10"/>
</file>

<file path=xl/ctrlProps/ctrlProp616.xml><?xml version="1.0" encoding="utf-8"?>
<formControlPr xmlns="http://schemas.microsoft.com/office/spreadsheetml/2009/9/main" objectType="Spin" dx="15" fmlaLink="NeoBerInfB!$F$24" max="30000" page="10" val="0"/>
</file>

<file path=xl/ctrlProps/ctrlProp617.xml><?xml version="1.0" encoding="utf-8"?>
<formControlPr xmlns="http://schemas.microsoft.com/office/spreadsheetml/2009/9/main" objectType="Spin" dx="15" fmlaLink="NeoBerInfB!$F$25" max="30000" page="10" val="0"/>
</file>

<file path=xl/ctrlProps/ctrlProp618.xml><?xml version="1.0" encoding="utf-8"?>
<formControlPr xmlns="http://schemas.microsoft.com/office/spreadsheetml/2009/9/main" objectType="Spin" dx="15" fmlaLink="NeoBerInfB!$F$26" max="30000" page="10" val="0"/>
</file>

<file path=xl/ctrlProps/ctrlProp619.xml><?xml version="1.0" encoding="utf-8"?>
<formControlPr xmlns="http://schemas.microsoft.com/office/spreadsheetml/2009/9/main" objectType="Spin" dx="15" fmlaLink="NeoBerInfB!$F$27" max="30000" page="10" val="0"/>
</file>

<file path=xl/ctrlProps/ctrlProp620.xml><?xml version="1.0" encoding="utf-8"?>
<formControlPr xmlns="http://schemas.microsoft.com/office/spreadsheetml/2009/9/main" objectType="Spin" dx="15" fmlaLink="NeoBerInfB!$F$28" max="30000" page="10" val="0"/>
</file>

<file path=xl/ctrlProps/ctrlProp621.xml><?xml version="1.0" encoding="utf-8"?>
<formControlPr xmlns="http://schemas.microsoft.com/office/spreadsheetml/2009/9/main" objectType="Spin" dx="15" fmlaLink="NeoBerInfB!$F$29" max="30000" page="10" val="0"/>
</file>

<file path=xl/ctrlProps/ctrlProp622.xml><?xml version="1.0" encoding="utf-8"?>
<formControlPr xmlns="http://schemas.microsoft.com/office/spreadsheetml/2009/9/main" objectType="Radio" firstButton="1" fmlaLink="NeoBerInfB!$I$9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F$9" max="24" page="10" val="4"/>
</file>

<file path=xl/ctrlProps/ctrlProp625.xml><?xml version="1.0" encoding="utf-8"?>
<formControlPr xmlns="http://schemas.microsoft.com/office/spreadsheetml/2009/9/main" objectType="Spin" dx="15" fmlaLink="NeoBerInfB!$C$10" inc="5" max="30000" page="10" val="10"/>
</file>

<file path=xl/ctrlProps/ctrlProp626.xml><?xml version="1.0" encoding="utf-8"?>
<formControlPr xmlns="http://schemas.microsoft.com/office/spreadsheetml/2009/9/main" objectType="Spin" dx="15" fmlaLink="NeoBerInfB!$D$7" inc="5" max="30000" page="10" val="5015"/>
</file>

<file path=xl/ctrlProps/ctrlProp627.xml><?xml version="1.0" encoding="utf-8"?>
<formControlPr xmlns="http://schemas.microsoft.com/office/spreadsheetml/2009/9/main" objectType="Radio" checked="Checked" firstButton="1" fmlaLink="NeoBerInfB!$D$40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41" inc="10" max="30000" page="10" val="5030"/>
</file>

<file path=xl/ctrlProps/ctrlProp631.xml><?xml version="1.0" encoding="utf-8"?>
<formControlPr xmlns="http://schemas.microsoft.com/office/spreadsheetml/2009/9/main" objectType="Spin" dx="15" fmlaLink="NeoBerInfB!$D$42" inc="10" max="30000" page="10" val="5010"/>
</file>

<file path=xl/ctrlProps/ctrlProp632.xml><?xml version="1.0" encoding="utf-8"?>
<formControlPr xmlns="http://schemas.microsoft.com/office/spreadsheetml/2009/9/main" objectType="Spin" dx="15" fmlaLink="NeoBerInfB!$D$43" inc="10" max="30000" page="10" val="5010"/>
</file>

<file path=xl/ctrlProps/ctrlProp633.xml><?xml version="1.0" encoding="utf-8"?>
<formControlPr xmlns="http://schemas.microsoft.com/office/spreadsheetml/2009/9/main" objectType="Spin" dx="15" fmlaLink="NeoBerInfB!$D$44" max="30000" page="10" val="5010"/>
</file>

<file path=xl/ctrlProps/ctrlProp634.xml><?xml version="1.0" encoding="utf-8"?>
<formControlPr xmlns="http://schemas.microsoft.com/office/spreadsheetml/2009/9/main" objectType="Spin" dx="15" fmlaLink="NeoBerInfB!$D$45" max="30000" page="10" val="5010"/>
</file>

<file path=xl/ctrlProps/ctrlProp635.xml><?xml version="1.0" encoding="utf-8"?>
<formControlPr xmlns="http://schemas.microsoft.com/office/spreadsheetml/2009/9/main" objectType="Spin" dx="15" fmlaLink="NeoBerInfB!$D$46" max="30000" page="10" val="5001"/>
</file>

<file path=xl/ctrlProps/ctrlProp636.xml><?xml version="1.0" encoding="utf-8"?>
<formControlPr xmlns="http://schemas.microsoft.com/office/spreadsheetml/2009/9/main" objectType="Spin" dx="15" fmlaLink="NeoBerInfB!$D$47" max="30000" page="10" val="5000"/>
</file>

<file path=xl/ctrlProps/ctrlProp637.xml><?xml version="1.0" encoding="utf-8"?>
<formControlPr xmlns="http://schemas.microsoft.com/office/spreadsheetml/2009/9/main" objectType="Spin" dx="15" fmlaLink="NeoBerInfB!$D$41" max="30000" page="10" val="5030"/>
</file>

<file path=xl/ctrlProps/ctrlProp638.xml><?xml version="1.0" encoding="utf-8"?>
<formControlPr xmlns="http://schemas.microsoft.com/office/spreadsheetml/2009/9/main" objectType="Spin" dx="15" fmlaLink="NeoBerInfB!$D$42" max="30000" page="10" val="501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Radio" checked="Checked" firstButton="1" fmlaLink="NeoBerInfB!$B$6" lockText="1"/>
</file>

<file path=xl/ctrlProps/ctrlProp641.xml><?xml version="1.0" encoding="utf-8"?>
<formControlPr xmlns="http://schemas.microsoft.com/office/spreadsheetml/2009/9/main" objectType="Radio" lockText="1"/>
</file>

<file path=xl/ctrlProps/ctrlProp642.xml><?xml version="1.0" encoding="utf-8"?>
<formControlPr xmlns="http://schemas.microsoft.com/office/spreadsheetml/2009/9/main" objectType="Drop" dropStyle="combo" dx="16" fmlaLink="NeoBerInfB!$E$23" fmlaRange="Tbl_Neo_OplVlst" sel="3" val="0"/>
</file>

<file path=xl/ctrlProps/ctrlProp643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4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5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48.xml><?xml version="1.0" encoding="utf-8"?>
<formControlPr xmlns="http://schemas.microsoft.com/office/spreadsheetml/2009/9/main" objectType="Spin" dx="15" fmlaLink="NeoBerInfB!$D$23" max="30000" page="10" val="50"/>
</file>

<file path=xl/ctrlProps/ctrlProp649.xml><?xml version="1.0" encoding="utf-8"?>
<formControlPr xmlns="http://schemas.microsoft.com/office/spreadsheetml/2009/9/main" objectType="Spin" dx="15" fmlaLink="NeoBerInfB!$D$24" max="30000" page="10" val="0"/>
</file>

<file path=xl/ctrlProps/ctrlProp650.xml><?xml version="1.0" encoding="utf-8"?>
<formControlPr xmlns="http://schemas.microsoft.com/office/spreadsheetml/2009/9/main" objectType="Spin" dx="15" fmlaLink="NeoBerInfB!$D$25" max="30000" page="10" val="0"/>
</file>

<file path=xl/ctrlProps/ctrlProp651.xml><?xml version="1.0" encoding="utf-8"?>
<formControlPr xmlns="http://schemas.microsoft.com/office/spreadsheetml/2009/9/main" objectType="Spin" dx="15" fmlaLink="NeoBerInfB!$D$26" max="30000" page="10" val="0"/>
</file>

<file path=xl/ctrlProps/ctrlProp652.xml><?xml version="1.0" encoding="utf-8"?>
<formControlPr xmlns="http://schemas.microsoft.com/office/spreadsheetml/2009/9/main" objectType="Spin" dx="15" fmlaLink="NeoBerInfB!$D$27" max="30000" page="10" val="0"/>
</file>

<file path=xl/ctrlProps/ctrlProp653.xml><?xml version="1.0" encoding="utf-8"?>
<formControlPr xmlns="http://schemas.microsoft.com/office/spreadsheetml/2009/9/main" objectType="Spin" dx="15" fmlaLink="NeoBerInfB!$D$28" max="30000" page="10" val="0"/>
</file>

<file path=xl/ctrlProps/ctrlProp654.xml><?xml version="1.0" encoding="utf-8"?>
<formControlPr xmlns="http://schemas.microsoft.com/office/spreadsheetml/2009/9/main" objectType="Spin" dx="15" fmlaLink="NeoBerInfB!$D$29" max="30000" page="10" val="0"/>
</file>

<file path=xl/ctrlProps/ctrlProp655.xml><?xml version="1.0" encoding="utf-8"?>
<formControlPr xmlns="http://schemas.microsoft.com/office/spreadsheetml/2009/9/main" objectType="Spin" dx="15" fmlaLink="NeoBerInfB!$C$23" inc="10" max="30000" page="10" val="2000"/>
</file>

<file path=xl/ctrlProps/ctrlProp656.xml><?xml version="1.0" encoding="utf-8"?>
<formControlPr xmlns="http://schemas.microsoft.com/office/spreadsheetml/2009/9/main" objectType="Spin" dx="15" fmlaLink="NeoBerInfB!$C$24" inc="10" max="30000" page="10" val="0"/>
</file>

<file path=xl/ctrlProps/ctrlProp657.xml><?xml version="1.0" encoding="utf-8"?>
<formControlPr xmlns="http://schemas.microsoft.com/office/spreadsheetml/2009/9/main" objectType="Spin" dx="15" fmlaLink="NeoBerInfB!$C$25" inc="10" max="30000" page="10" val="0"/>
</file>

<file path=xl/ctrlProps/ctrlProp658.xml><?xml version="1.0" encoding="utf-8"?>
<formControlPr xmlns="http://schemas.microsoft.com/office/spreadsheetml/2009/9/main" objectType="Spin" dx="15" fmlaLink="NeoBerInfB!$C$26" inc="10" max="30000" page="10" val="0"/>
</file>

<file path=xl/ctrlProps/ctrlProp659.xml><?xml version="1.0" encoding="utf-8"?>
<formControlPr xmlns="http://schemas.microsoft.com/office/spreadsheetml/2009/9/main" objectType="Spin" dx="15" fmlaLink="NeoBerInfB!$C$27" inc="10" max="30000" page="10" val="0"/>
</file>

<file path=xl/ctrlProps/ctrlProp660.xml><?xml version="1.0" encoding="utf-8"?>
<formControlPr xmlns="http://schemas.microsoft.com/office/spreadsheetml/2009/9/main" objectType="Spin" dx="15" fmlaLink="NeoBerInfB!$C$28" inc="10" max="30000" page="10" val="0"/>
</file>

<file path=xl/ctrlProps/ctrlProp661.xml><?xml version="1.0" encoding="utf-8"?>
<formControlPr xmlns="http://schemas.microsoft.com/office/spreadsheetml/2009/9/main" objectType="Spin" dx="15" fmlaLink="NeoBerInfB!$C$29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I$22" lockText="1"/>
</file>

<file path=xl/ctrlProps/ctrlProp665.xml><?xml version="1.0" encoding="utf-8"?>
<formControlPr xmlns="http://schemas.microsoft.com/office/spreadsheetml/2009/9/main" objectType="CheckBox" fmlaLink="NeoBerInfB!$I$23" lockText="1"/>
</file>

<file path=xl/ctrlProps/ctrlProp666.xml><?xml version="1.0" encoding="utf-8"?>
<formControlPr xmlns="http://schemas.microsoft.com/office/spreadsheetml/2009/9/main" objectType="CheckBox" fmlaLink="NeoBerInfB!$I$24" lockText="1"/>
</file>

<file path=xl/ctrlProps/ctrlProp667.xml><?xml version="1.0" encoding="utf-8"?>
<formControlPr xmlns="http://schemas.microsoft.com/office/spreadsheetml/2009/9/main" objectType="CheckBox" fmlaLink="NeoBerInfB!$I$25" lockText="1"/>
</file>

<file path=xl/ctrlProps/ctrlProp668.xml><?xml version="1.0" encoding="utf-8"?>
<formControlPr xmlns="http://schemas.microsoft.com/office/spreadsheetml/2009/9/main" objectType="CheckBox" fmlaLink="NeoBerInfB!$I$26" lockText="1"/>
</file>

<file path=xl/ctrlProps/ctrlProp669.xml><?xml version="1.0" encoding="utf-8"?>
<formControlPr xmlns="http://schemas.microsoft.com/office/spreadsheetml/2009/9/main" objectType="CheckBox" fmlaLink="NeoBerInfB!$I$27" lockText="1"/>
</file>

<file path=xl/ctrlProps/ctrlProp670.xml><?xml version="1.0" encoding="utf-8"?>
<formControlPr xmlns="http://schemas.microsoft.com/office/spreadsheetml/2009/9/main" objectType="CheckBox" fmlaLink="NeoBerInfB!$I$28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3.xml><?xml version="1.0" encoding="utf-8"?>
<formControlPr xmlns="http://schemas.microsoft.com/office/spreadsheetml/2009/9/main" objectType="Spin" dx="15" fmlaLink="NeoBerInfB!$F$30" max="30000" page="10" val="0"/>
</file>

<file path=xl/ctrlProps/ctrlProp674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5.xml><?xml version="1.0" encoding="utf-8"?>
<formControlPr xmlns="http://schemas.microsoft.com/office/spreadsheetml/2009/9/main" objectType="Spin" dx="15" fmlaLink="NeoBerInfB!$D$30" max="30000" page="10" val="0"/>
</file>

<file path=xl/ctrlProps/ctrlProp676.xml><?xml version="1.0" encoding="utf-8"?>
<formControlPr xmlns="http://schemas.microsoft.com/office/spreadsheetml/2009/9/main" objectType="Spin" dx="15" fmlaLink="NeoBerInfB!$C$30" inc="10" max="30000" page="10" val="0"/>
</file>

<file path=xl/ctrlProps/ctrlProp677.xml><?xml version="1.0" encoding="utf-8"?>
<formControlPr xmlns="http://schemas.microsoft.com/office/spreadsheetml/2009/9/main" objectType="CheckBox" fmlaLink="NeoBerInfB!$I$29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31" max="30000" page="10" val="0"/>
</file>

<file path=xl/ctrlProps/ctrlProp680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1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2.xml><?xml version="1.0" encoding="utf-8"?>
<formControlPr xmlns="http://schemas.microsoft.com/office/spreadsheetml/2009/9/main" objectType="CheckBox" fmlaLink="NeoBerInfB!$I$30" lockText="1"/>
</file>

<file path=xl/ctrlProps/ctrlProp683.xml><?xml version="1.0" encoding="utf-8"?>
<formControlPr xmlns="http://schemas.microsoft.com/office/spreadsheetml/2009/9/main" objectType="CheckBox" fmlaLink="NeoBerInfB!$I$31" lockText="1"/>
</file>

<file path=xl/ctrlProps/ctrlProp684.xml><?xml version="1.0" encoding="utf-8"?>
<formControlPr xmlns="http://schemas.microsoft.com/office/spreadsheetml/2009/9/main" objectType="Spin" dx="15" fmlaLink="NeoBerInfB!$D$39" max="30000" page="10" val="5001"/>
</file>

<file path=xl/ctrlProps/ctrlProp685.xml><?xml version="1.0" encoding="utf-8"?>
<formControlPr xmlns="http://schemas.microsoft.com/office/spreadsheetml/2009/9/main" objectType="Drop" dropStyle="combo" dx="16" fmlaLink="NeoBerInfB!$D$49" fmlaRange="NeoTblLijst!$A$3:$A$12" val="0"/>
</file>

<file path=xl/ctrlProps/ctrlProp686.xml><?xml version="1.0" encoding="utf-8"?>
<formControlPr xmlns="http://schemas.microsoft.com/office/spreadsheetml/2009/9/main" objectType="Spin" dx="15" fmlaLink="NeoBerInfB!#REF!" max="43" min="24" page="10" val="24"/>
</file>

<file path=xl/ctrlProps/ctrlProp687.xml><?xml version="1.0" encoding="utf-8"?>
<formControlPr xmlns="http://schemas.microsoft.com/office/spreadsheetml/2009/9/main" objectType="Spin" dx="15" fmlaLink="NeoBerInfB!#REF!" max="6" page="10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14" fmlaRange="NeoTblLijst!#REF!" sel="0" val="0"/>
</file>

<file path=xl/ctrlProps/ctrlProp690.xml><?xml version="1.0" encoding="utf-8"?>
<formControlPr xmlns="http://schemas.microsoft.com/office/spreadsheetml/2009/9/main" objectType="Drop" dropStyle="combo" dx="16" fmlaLink="NeoBerInfB!$B$9" fmlaRange="Tbl_Neo_Voed" sel="2" val="0"/>
</file>

<file path=xl/ctrlProps/ctrlProp691.xml><?xml version="1.0" encoding="utf-8"?>
<formControlPr xmlns="http://schemas.microsoft.com/office/spreadsheetml/2009/9/main" objectType="Spin" dx="15" fmlaLink="NeoBerInfB!$F$10" max="24" page="10" val="2"/>
</file>

<file path=xl/ctrlProps/ctrlProp692.xml><?xml version="1.0" encoding="utf-8"?>
<formControlPr xmlns="http://schemas.microsoft.com/office/spreadsheetml/2009/9/main" objectType="Spin" dx="15" fmlaLink="NeoBerInfB!$C$9" inc="5" max="30000" page="10" val="20"/>
</file>

<file path=xl/ctrlProps/ctrlProp693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5.xml><?xml version="1.0" encoding="utf-8"?>
<formControlPr xmlns="http://schemas.microsoft.com/office/spreadsheetml/2009/9/main" objectType="Drop" dropStyle="combo" dx="16" fmlaLink="NeoBerInfB!$B$31" fmlaRange="Tbl_Neo_MedIV" val="17"/>
</file>

<file path=xl/ctrlProps/ctrlProp696.xml><?xml version="1.0" encoding="utf-8"?>
<formControlPr xmlns="http://schemas.microsoft.com/office/spreadsheetml/2009/9/main" objectType="Spin" dx="15" fmlaLink="NeoBerInfB!$D$31" max="30000" page="10" val="0"/>
</file>

<file path=xl/ctrlProps/ctrlProp697.xml><?xml version="1.0" encoding="utf-8"?>
<formControlPr xmlns="http://schemas.microsoft.com/office/spreadsheetml/2009/9/main" objectType="Spin" dx="15" fmlaLink="NeoBerInfB!$C$31" inc="10" max="30000" page="10" val="0"/>
</file>

<file path=xl/ctrlProps/ctrlProp69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9.xml><?xml version="1.0" encoding="utf-8"?>
<formControlPr xmlns="http://schemas.microsoft.com/office/spreadsheetml/2009/9/main" objectType="Drop" dropStyle="combo" dx="16" fmlaLink="NeoBerInfB!$E$32" fmlaRange="Tbl_Neo_OplVlst" sel="6" val="0"/>
</file>

<file path=xl/ctrlProps/ctrlProp700.xml><?xml version="1.0" encoding="utf-8"?>
<formControlPr xmlns="http://schemas.microsoft.com/office/spreadsheetml/2009/9/main" objectType="Spin" dx="15" fmlaLink="NeoBerInfB!$F$32" max="30000" page="10" val="2"/>
</file>

<file path=xl/ctrlProps/ctrlProp701.xml><?xml version="1.0" encoding="utf-8"?>
<formControlPr xmlns="http://schemas.microsoft.com/office/spreadsheetml/2009/9/main" objectType="CheckBox" fmlaLink="NeoBerInfB!$I$32" lockText="1"/>
</file>

<file path=xl/ctrlProps/ctrlProp702.xml><?xml version="1.0" encoding="utf-8"?>
<formControlPr xmlns="http://schemas.microsoft.com/office/spreadsheetml/2009/9/main" objectType="Drop" dropStyle="combo" dx="16" fmlaLink="NeoBerInfB!$E$33" fmlaRange="Tbl_Neo_OplVlst" sel="8" val="0"/>
</file>

<file path=xl/ctrlProps/ctrlProp703.xml><?xml version="1.0" encoding="utf-8"?>
<formControlPr xmlns="http://schemas.microsoft.com/office/spreadsheetml/2009/9/main" objectType="Spin" dx="15" fmlaLink="NeoBerInfB!$F$33" max="30000" page="10" val="3"/>
</file>

<file path=xl/ctrlProps/ctrlProp704.xml><?xml version="1.0" encoding="utf-8"?>
<formControlPr xmlns="http://schemas.microsoft.com/office/spreadsheetml/2009/9/main" objectType="CheckBox" fmlaLink="NeoBerInfB!$I$33" lockText="1"/>
</file>

<file path=xl/ctrlProps/ctrlProp705.xml><?xml version="1.0" encoding="utf-8"?>
<formControlPr xmlns="http://schemas.microsoft.com/office/spreadsheetml/2009/9/main" objectType="CheckBox" fmlaLink="NeoBerInfB!$I$33" lockText="1"/>
</file>

<file path=xl/ctrlProps/ctrlProp706.xml><?xml version="1.0" encoding="utf-8"?>
<formControlPr xmlns="http://schemas.microsoft.com/office/spreadsheetml/2009/9/main" objectType="Drop" dropStyle="combo" dx="16" fmlaLink="NeoBerInfB!$E$34" fmlaRange="Tbl_Neo_OplVlst" sel="6" val="0"/>
</file>

<file path=xl/ctrlProps/ctrlProp707.xml><?xml version="1.0" encoding="utf-8"?>
<formControlPr xmlns="http://schemas.microsoft.com/office/spreadsheetml/2009/9/main" objectType="Spin" dx="15" fmlaLink="NeoBerInfB!$F$34" max="30000" page="10" val="2"/>
</file>

<file path=xl/ctrlProps/ctrlProp708.xml><?xml version="1.0" encoding="utf-8"?>
<formControlPr xmlns="http://schemas.microsoft.com/office/spreadsheetml/2009/9/main" objectType="CheckBox" fmlaLink="NeoBerInfB!$I$34" lockText="1"/>
</file>

<file path=xl/ctrlProps/ctrlProp70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4" fmlaRange="NeoTblLijst!#REF!" sel="0" val="0"/>
</file>

<file path=xl/ctrlProps/ctrlProp71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3.xml><?xml version="1.0" encoding="utf-8"?>
<formControlPr xmlns="http://schemas.microsoft.com/office/spreadsheetml/2009/9/main" objectType="Drop" dropStyle="combo" dx="16" fmlaLink="NeoBerInfB!$H$16" fmlaRange="tbl_Neo_NutrToevWaard" val="0"/>
</file>

<file path=xl/ctrlProps/ctrlProp714.xml><?xml version="1.0" encoding="utf-8"?>
<formControlPr xmlns="http://schemas.microsoft.com/office/spreadsheetml/2009/9/main" objectType="Drop" dropStyle="combo" dx="16" fmlaLink="NeoBerInfB!$F$17" fmlaRange="tbl_Neo_NutrToevWaard" val="0"/>
</file>

<file path=xl/ctrlProps/ctrlProp715.xml><?xml version="1.0" encoding="utf-8"?>
<formControlPr xmlns="http://schemas.microsoft.com/office/spreadsheetml/2009/9/main" objectType="Drop" dropStyle="combo" dx="16" fmlaLink="NeoBerInfB!$F$18" fmlaRange="tbl_Neo_NutrToevWaard" val="0"/>
</file>

<file path=xl/ctrlProps/ctrlProp716.xml><?xml version="1.0" encoding="utf-8"?>
<formControlPr xmlns="http://schemas.microsoft.com/office/spreadsheetml/2009/9/main" objectType="Drop" dropStyle="combo" dx="16" fmlaLink="NeoBerInfB!$F$19" fmlaRange="tbl_Neo_NutrToevWaard" val="0"/>
</file>

<file path=xl/ctrlProps/ctrlProp717.xml><?xml version="1.0" encoding="utf-8"?>
<formControlPr xmlns="http://schemas.microsoft.com/office/spreadsheetml/2009/9/main" objectType="Drop" dropStyle="combo" dx="16" fmlaLink="NeoBerInfB!$B$12" fmlaRange="Tbl_Neo_PoedMM" sel="3" val="0"/>
</file>

<file path=xl/ctrlProps/ctrlProp718.xml><?xml version="1.0" encoding="utf-8"?>
<formControlPr xmlns="http://schemas.microsoft.com/office/spreadsheetml/2009/9/main" objectType="Drop" dropStyle="combo" dx="16" fmlaLink="NeoBerInfB!$B$16" fmlaRange="Tbl_Neo_PoedKV" sel="2" val="0"/>
</file>

<file path=xl/ctrlProps/ctrlProp719.xml><?xml version="1.0" encoding="utf-8"?>
<formControlPr xmlns="http://schemas.microsoft.com/office/spreadsheetml/2009/9/main" objectType="Drop" dropStyle="combo" dx="16" fmlaLink="NeoBerInfB!$F$16" fmlaRange="tbl_Neo_NutrToevWaard" sel="3" val="0"/>
</file>

<file path=xl/ctrlProps/ctrlProp720.xml><?xml version="1.0" encoding="utf-8"?>
<formControlPr xmlns="http://schemas.microsoft.com/office/spreadsheetml/2009/9/main" objectType="Drop" dropStyle="combo" dx="16" fmlaLink="NeoBerInfB!$F$11" fmlaRange="tbl_Neo_NutrBMFWaard" sel="2" val="0"/>
</file>

<file path=xl/ctrlProps/ctrlProp721.xml><?xml version="1.0" encoding="utf-8"?>
<formControlPr xmlns="http://schemas.microsoft.com/office/spreadsheetml/2009/9/main" objectType="Drop" dropStyle="combo" dx="16" fmlaLink="NeoBerInfB!$F$13" fmlaRange="tbl_Neo_NutrToevWaard" val="0"/>
</file>

<file path=xl/ctrlProps/ctrlProp722.xml><?xml version="1.0" encoding="utf-8"?>
<formControlPr xmlns="http://schemas.microsoft.com/office/spreadsheetml/2009/9/main" objectType="Drop" dropStyle="combo" dx="16" fmlaLink="NeoBerInfB!$F$14" fmlaRange="tbl_Neo_NutrToevWaard" val="0"/>
</file>

<file path=xl/ctrlProps/ctrlProp723.xml><?xml version="1.0" encoding="utf-8"?>
<formControlPr xmlns="http://schemas.microsoft.com/office/spreadsheetml/2009/9/main" objectType="Drop" dropStyle="combo" dx="16" fmlaLink="NeoBerInfB!$F$15" fmlaRange="tbl_Neo_NutrToevWaard" val="0"/>
</file>

<file path=xl/ctrlProps/ctrlProp724.xml><?xml version="1.0" encoding="utf-8"?>
<formControlPr xmlns="http://schemas.microsoft.com/office/spreadsheetml/2009/9/main" objectType="Drop" dropStyle="combo" dx="16" fmlaLink="NeoBerInfB!$F$12" fmlaRange="tbl_Neo_NutrToevWaard" sel="3" val="0"/>
</file>

<file path=xl/ctrlProps/ctrlProp725.xml><?xml version="1.0" encoding="utf-8"?>
<formControlPr xmlns="http://schemas.microsoft.com/office/spreadsheetml/2009/9/main" objectType="CheckBox" checked="Checked" fmlaLink="NeoBerInfB!$B$21" lockText="1" noThreeD="1"/>
</file>

<file path=xl/ctrlProps/ctrlProp726.xml><?xml version="1.0" encoding="utf-8"?>
<formControlPr xmlns="http://schemas.microsoft.com/office/spreadsheetml/2009/9/main" objectType="Spin" dx="15" fmlaLink="NeoBerInfB!$F$24" max="30000" page="10" val="0"/>
</file>

<file path=xl/ctrlProps/ctrlProp727.xml><?xml version="1.0" encoding="utf-8"?>
<formControlPr xmlns="http://schemas.microsoft.com/office/spreadsheetml/2009/9/main" objectType="Spin" dx="15" fmlaLink="NeoBerInfB!$F$25" max="30000" page="10" val="0"/>
</file>

<file path=xl/ctrlProps/ctrlProp728.xml><?xml version="1.0" encoding="utf-8"?>
<formControlPr xmlns="http://schemas.microsoft.com/office/spreadsheetml/2009/9/main" objectType="Spin" dx="15" fmlaLink="NeoBerInfB!$F$26" max="30000" page="10" val="0"/>
</file>

<file path=xl/ctrlProps/ctrlProp729.xml><?xml version="1.0" encoding="utf-8"?>
<formControlPr xmlns="http://schemas.microsoft.com/office/spreadsheetml/2009/9/main" objectType="Spin" dx="15" fmlaLink="NeoBerInfB!$F$27" max="30000" page="10" val="0"/>
</file>

<file path=xl/ctrlProps/ctrlProp730.xml><?xml version="1.0" encoding="utf-8"?>
<formControlPr xmlns="http://schemas.microsoft.com/office/spreadsheetml/2009/9/main" objectType="Spin" dx="15" fmlaLink="NeoBerInfB!$F$28" max="30000" page="10" val="0"/>
</file>

<file path=xl/ctrlProps/ctrlProp731.xml><?xml version="1.0" encoding="utf-8"?>
<formControlPr xmlns="http://schemas.microsoft.com/office/spreadsheetml/2009/9/main" objectType="Spin" dx="15" fmlaLink="NeoBerInfB!$F$29" max="30000" page="10" val="0"/>
</file>

<file path=xl/ctrlProps/ctrlProp732.xml><?xml version="1.0" encoding="utf-8"?>
<formControlPr xmlns="http://schemas.microsoft.com/office/spreadsheetml/2009/9/main" objectType="Spin" dx="15" fmlaLink="NeoBerInfB!$F$30" max="30000" page="10" val="0"/>
</file>

<file path=xl/ctrlProps/ctrlProp733.xml><?xml version="1.0" encoding="utf-8"?>
<formControlPr xmlns="http://schemas.microsoft.com/office/spreadsheetml/2009/9/main" objectType="Spin" dx="15" fmlaLink="NeoBerInfB!$F$31" max="30000" page="10" val="0"/>
</file>

<file path=xl/ctrlProps/ctrlProp734.xml><?xml version="1.0" encoding="utf-8"?>
<formControlPr xmlns="http://schemas.microsoft.com/office/spreadsheetml/2009/9/main" objectType="Drop" dropStyle="combo" dx="16" fmlaLink="NeoBerInfB!$F$39" fmlaRange="tbl_Neo_IntralipidSmof" val="0"/>
</file>

<file path=xl/ctrlProps/ctrlProp735.xml><?xml version="1.0" encoding="utf-8"?>
<formControlPr xmlns="http://schemas.microsoft.com/office/spreadsheetml/2009/9/main" objectType="Spin" dx="15" fmlaLink="PatDetails!$B$7" max="200" min="25" page="10" val="25"/>
</file>

<file path=xl/ctrlProps/ctrlProp736.xml><?xml version="1.0" encoding="utf-8"?>
<formControlPr xmlns="http://schemas.microsoft.com/office/spreadsheetml/2009/9/main" objectType="CheckBox" fmlaLink="NeoBerAfspr!$F$7" lockText="1"/>
</file>

<file path=xl/ctrlProps/ctrlProp737.xml><?xml version="1.0" encoding="utf-8"?>
<formControlPr xmlns="http://schemas.microsoft.com/office/spreadsheetml/2009/9/main" objectType="CheckBox" fmlaLink="NeoBerAfspr!$F$8" lockText="1"/>
</file>

<file path=xl/ctrlProps/ctrlProp738.xml><?xml version="1.0" encoding="utf-8"?>
<formControlPr xmlns="http://schemas.microsoft.com/office/spreadsheetml/2009/9/main" objectType="CheckBox" fmlaLink="NeoBerAfspr!$F$13" lockText="1"/>
</file>

<file path=xl/ctrlProps/ctrlProp739.xml><?xml version="1.0" encoding="utf-8"?>
<formControlPr xmlns="http://schemas.microsoft.com/office/spreadsheetml/2009/9/main" objectType="CheckBox" fmlaLink="NeoBerAfspr!$F$14" lockText="1"/>
</file>

<file path=xl/ctrlProps/ctrlProp740.xml><?xml version="1.0" encoding="utf-8"?>
<formControlPr xmlns="http://schemas.microsoft.com/office/spreadsheetml/2009/9/main" objectType="CheckBox" fmlaLink="NeoBerAfspr!$F$15" lockText="1"/>
</file>

<file path=xl/ctrlProps/ctrlProp741.xml><?xml version="1.0" encoding="utf-8"?>
<formControlPr xmlns="http://schemas.microsoft.com/office/spreadsheetml/2009/9/main" objectType="CheckBox" fmlaLink="NeoBerAfspr!$F$17" lockText="1"/>
</file>

<file path=xl/ctrlProps/ctrlProp742.xml><?xml version="1.0" encoding="utf-8"?>
<formControlPr xmlns="http://schemas.microsoft.com/office/spreadsheetml/2009/9/main" objectType="CheckBox" fmlaLink="NeoBerAfspr!$F$18" lockText="1"/>
</file>

<file path=xl/ctrlProps/ctrlProp743.xml><?xml version="1.0" encoding="utf-8"?>
<formControlPr xmlns="http://schemas.microsoft.com/office/spreadsheetml/2009/9/main" objectType="CheckBox" fmlaLink="NeoBerAfspr!$F$21" lockText="1"/>
</file>

<file path=xl/ctrlProps/ctrlProp744.xml><?xml version="1.0" encoding="utf-8"?>
<formControlPr xmlns="http://schemas.microsoft.com/office/spreadsheetml/2009/9/main" objectType="CheckBox" fmlaLink="NeoBerAfspr!$F$22" lockText="1"/>
</file>

<file path=xl/ctrlProps/ctrlProp745.xml><?xml version="1.0" encoding="utf-8"?>
<formControlPr xmlns="http://schemas.microsoft.com/office/spreadsheetml/2009/9/main" objectType="CheckBox" fmlaLink="NeoBerAfspr!$H$9" lockText="1"/>
</file>

<file path=xl/ctrlProps/ctrlProp746.xml><?xml version="1.0" encoding="utf-8"?>
<formControlPr xmlns="http://schemas.microsoft.com/office/spreadsheetml/2009/9/main" objectType="CheckBox" fmlaLink="NeoBerAfspr!$H$10" lockText="1"/>
</file>

<file path=xl/ctrlProps/ctrlProp747.xml><?xml version="1.0" encoding="utf-8"?>
<formControlPr xmlns="http://schemas.microsoft.com/office/spreadsheetml/2009/9/main" objectType="CheckBox" fmlaLink="NeoBerAfspr!$H$11" lockText="1"/>
</file>

<file path=xl/ctrlProps/ctrlProp748.xml><?xml version="1.0" encoding="utf-8"?>
<formControlPr xmlns="http://schemas.microsoft.com/office/spreadsheetml/2009/9/main" objectType="CheckBox" fmlaLink="NeoBerAfspr!$H$8" lockText="1"/>
</file>

<file path=xl/ctrlProps/ctrlProp749.xml><?xml version="1.0" encoding="utf-8"?>
<formControlPr xmlns="http://schemas.microsoft.com/office/spreadsheetml/2009/9/main" objectType="CheckBox" fmlaLink="NeoBerAfspr!$F$12" lockText="1"/>
</file>

<file path=xl/ctrlProps/ctrlProp750.xml><?xml version="1.0" encoding="utf-8"?>
<formControlPr xmlns="http://schemas.microsoft.com/office/spreadsheetml/2009/9/main" objectType="CheckBox" fmlaLink="NeoBerAfspr!$H$13" lockText="1"/>
</file>

<file path=xl/ctrlProps/ctrlProp751.xml><?xml version="1.0" encoding="utf-8"?>
<formControlPr xmlns="http://schemas.microsoft.com/office/spreadsheetml/2009/9/main" objectType="CheckBox" fmlaLink="NeoBerAfspr!$H$15" lockText="1"/>
</file>

<file path=xl/ctrlProps/ctrlProp752.xml><?xml version="1.0" encoding="utf-8"?>
<formControlPr xmlns="http://schemas.microsoft.com/office/spreadsheetml/2009/9/main" objectType="CheckBox" fmlaLink="NeoBerAfspr!$H$16" lockText="1"/>
</file>

<file path=xl/ctrlProps/ctrlProp753.xml><?xml version="1.0" encoding="utf-8"?>
<formControlPr xmlns="http://schemas.microsoft.com/office/spreadsheetml/2009/9/main" objectType="CheckBox" fmlaLink="NeoBerAfspr!$H$18" lockText="1"/>
</file>

<file path=xl/ctrlProps/ctrlProp754.xml><?xml version="1.0" encoding="utf-8"?>
<formControlPr xmlns="http://schemas.microsoft.com/office/spreadsheetml/2009/9/main" objectType="CheckBox" fmlaLink="NeoBerAfspr!$H$20" lockText="1"/>
</file>

<file path=xl/ctrlProps/ctrlProp755.xml><?xml version="1.0" encoding="utf-8"?>
<formControlPr xmlns="http://schemas.microsoft.com/office/spreadsheetml/2009/9/main" objectType="CheckBox" fmlaLink="NeoBerAfspr!$H$19" lockText="1"/>
</file>

<file path=xl/ctrlProps/ctrlProp756.xml><?xml version="1.0" encoding="utf-8"?>
<formControlPr xmlns="http://schemas.microsoft.com/office/spreadsheetml/2009/9/main" objectType="CheckBox" fmlaLink="NeoBerAfspr!$H$22" lockText="1"/>
</file>

<file path=xl/ctrlProps/ctrlProp757.xml><?xml version="1.0" encoding="utf-8"?>
<formControlPr xmlns="http://schemas.microsoft.com/office/spreadsheetml/2009/9/main" objectType="CheckBox" fmlaLink="NeoBerAfspr!$F$23" lockText="1"/>
</file>

<file path=xl/ctrlProps/ctrlProp758.xml><?xml version="1.0" encoding="utf-8"?>
<formControlPr xmlns="http://schemas.microsoft.com/office/spreadsheetml/2009/9/main" objectType="CheckBox" fmlaLink="NeoBerAfspr!$H$23" lockText="1"/>
</file>

<file path=xl/ctrlProps/ctrlProp759.xml><?xml version="1.0" encoding="utf-8"?>
<formControlPr xmlns="http://schemas.microsoft.com/office/spreadsheetml/2009/9/main" objectType="CheckBox" fmlaLink="NeoBerAfspr!$H$24" lockText="1"/>
</file>

<file path=xl/ctrlProps/ctrlProp760.xml><?xml version="1.0" encoding="utf-8"?>
<formControlPr xmlns="http://schemas.microsoft.com/office/spreadsheetml/2009/9/main" objectType="CheckBox" fmlaLink="NeoBerAfspr!$H$25" lockText="1"/>
</file>

<file path=xl/ctrlProps/ctrlProp761.xml><?xml version="1.0" encoding="utf-8"?>
<formControlPr xmlns="http://schemas.microsoft.com/office/spreadsheetml/2009/9/main" objectType="CheckBox" fmlaLink="NeoBerAfspr!$H$26" lockText="1"/>
</file>

<file path=xl/ctrlProps/ctrlProp762.xml><?xml version="1.0" encoding="utf-8"?>
<formControlPr xmlns="http://schemas.microsoft.com/office/spreadsheetml/2009/9/main" objectType="CheckBox" fmlaLink="NeoBerAfspr!$H$27" lockText="1"/>
</file>

<file path=xl/ctrlProps/ctrlProp763.xml><?xml version="1.0" encoding="utf-8"?>
<formControlPr xmlns="http://schemas.microsoft.com/office/spreadsheetml/2009/9/main" objectType="CheckBox" fmlaLink="NeoBerAfspr!$H$28" lockText="1"/>
</file>

<file path=xl/ctrlProps/ctrlProp764.xml><?xml version="1.0" encoding="utf-8"?>
<formControlPr xmlns="http://schemas.microsoft.com/office/spreadsheetml/2009/9/main" objectType="CheckBox" fmlaLink="NeoBerAfspr!$H$29" lockText="1"/>
</file>

<file path=xl/ctrlProps/ctrlProp765.xml><?xml version="1.0" encoding="utf-8"?>
<formControlPr xmlns="http://schemas.microsoft.com/office/spreadsheetml/2009/9/main" objectType="CheckBox" fmlaLink="NeoBerAfspr!$H$30" lockText="1"/>
</file>

<file path=xl/ctrlProps/ctrlProp766.xml><?xml version="1.0" encoding="utf-8"?>
<formControlPr xmlns="http://schemas.microsoft.com/office/spreadsheetml/2009/9/main" objectType="CheckBox" fmlaLink="NeoBerAfspr!$F$31" lockText="1"/>
</file>

<file path=xl/ctrlProps/ctrlProp767.xml><?xml version="1.0" encoding="utf-8"?>
<formControlPr xmlns="http://schemas.microsoft.com/office/spreadsheetml/2009/9/main" objectType="CheckBox" fmlaLink="NeoBerAfspr!$J$7" lockText="1"/>
</file>

<file path=xl/ctrlProps/ctrlProp768.xml><?xml version="1.0" encoding="utf-8"?>
<formControlPr xmlns="http://schemas.microsoft.com/office/spreadsheetml/2009/9/main" objectType="CheckBox" fmlaLink="NeoBerAfspr!$J$8" lockText="1"/>
</file>

<file path=xl/ctrlProps/ctrlProp769.xml><?xml version="1.0" encoding="utf-8"?>
<formControlPr xmlns="http://schemas.microsoft.com/office/spreadsheetml/2009/9/main" objectType="CheckBox" fmlaLink="NeoBerAfspr!$J$9" lockText="1"/>
</file>

<file path=xl/ctrlProps/ctrlProp770.xml><?xml version="1.0" encoding="utf-8"?>
<formControlPr xmlns="http://schemas.microsoft.com/office/spreadsheetml/2009/9/main" objectType="CheckBox" fmlaLink="NeoBerAfspr!$J$10" lockText="1"/>
</file>

<file path=xl/ctrlProps/ctrlProp771.xml><?xml version="1.0" encoding="utf-8"?>
<formControlPr xmlns="http://schemas.microsoft.com/office/spreadsheetml/2009/9/main" objectType="CheckBox" fmlaLink="NeoBerAfspr!$J$12" lockText="1"/>
</file>

<file path=xl/ctrlProps/ctrlProp772.xml><?xml version="1.0" encoding="utf-8"?>
<formControlPr xmlns="http://schemas.microsoft.com/office/spreadsheetml/2009/9/main" objectType="CheckBox" fmlaLink="NeoBerAfspr!$J$13" lockText="1"/>
</file>

<file path=xl/ctrlProps/ctrlProp773.xml><?xml version="1.0" encoding="utf-8"?>
<formControlPr xmlns="http://schemas.microsoft.com/office/spreadsheetml/2009/9/main" objectType="CheckBox" fmlaLink="NeoBerAfspr!$J$14" lockText="1"/>
</file>

<file path=xl/ctrlProps/ctrlProp774.xml><?xml version="1.0" encoding="utf-8"?>
<formControlPr xmlns="http://schemas.microsoft.com/office/spreadsheetml/2009/9/main" objectType="CheckBox" fmlaLink="NeoBerAfspr!$J$15" lockText="1"/>
</file>

<file path=xl/ctrlProps/ctrlProp775.xml><?xml version="1.0" encoding="utf-8"?>
<formControlPr xmlns="http://schemas.microsoft.com/office/spreadsheetml/2009/9/main" objectType="CheckBox" fmlaLink="NeoBerAfspr!$J$16" lockText="1"/>
</file>

<file path=xl/ctrlProps/ctrlProp776.xml><?xml version="1.0" encoding="utf-8"?>
<formControlPr xmlns="http://schemas.microsoft.com/office/spreadsheetml/2009/9/main" objectType="CheckBox" fmlaLink="NeoBerAfspr!$J$19" lockText="1"/>
</file>

<file path=xl/ctrlProps/ctrlProp777.xml><?xml version="1.0" encoding="utf-8"?>
<formControlPr xmlns="http://schemas.microsoft.com/office/spreadsheetml/2009/9/main" objectType="CheckBox" fmlaLink="NeoBerAfspr!$J$17" lockText="1"/>
</file>

<file path=xl/ctrlProps/ctrlProp778.xml><?xml version="1.0" encoding="utf-8"?>
<formControlPr xmlns="http://schemas.microsoft.com/office/spreadsheetml/2009/9/main" objectType="CheckBox" fmlaLink="NeoBerAfspr!$J$24" lockText="1"/>
</file>

<file path=xl/ctrlProps/ctrlProp779.xml><?xml version="1.0" encoding="utf-8"?>
<formControlPr xmlns="http://schemas.microsoft.com/office/spreadsheetml/2009/9/main" objectType="CheckBox" fmlaLink="NeoBerAfspr!$L$24" lockText="1"/>
</file>

<file path=xl/ctrlProps/ctrlProp780.xml><?xml version="1.0" encoding="utf-8"?>
<formControlPr xmlns="http://schemas.microsoft.com/office/spreadsheetml/2009/9/main" objectType="CheckBox" fmlaLink="NeoBerAfspr!$L$25" lockText="1"/>
</file>

<file path=xl/ctrlProps/ctrlProp781.xml><?xml version="1.0" encoding="utf-8"?>
<formControlPr xmlns="http://schemas.microsoft.com/office/spreadsheetml/2009/9/main" objectType="CheckBox" fmlaLink="NeoBerAfspr!$L$26" lockText="1"/>
</file>

<file path=xl/ctrlProps/ctrlProp782.xml><?xml version="1.0" encoding="utf-8"?>
<formControlPr xmlns="http://schemas.microsoft.com/office/spreadsheetml/2009/9/main" objectType="CheckBox" fmlaLink="NeoBerAfspr!$L$27" lockText="1"/>
</file>

<file path=xl/ctrlProps/ctrlProp783.xml><?xml version="1.0" encoding="utf-8"?>
<formControlPr xmlns="http://schemas.microsoft.com/office/spreadsheetml/2009/9/main" objectType="CheckBox" fmlaLink="NeoBerAfspr!$J$20" lockText="1"/>
</file>

<file path=xl/ctrlProps/ctrlProp784.xml><?xml version="1.0" encoding="utf-8"?>
<formControlPr xmlns="http://schemas.microsoft.com/office/spreadsheetml/2009/9/main" objectType="CheckBox" fmlaLink="NeoBerAfspr!$L$21" lockText="1"/>
</file>

<file path=xl/ctrlProps/ctrlProp785.xml><?xml version="1.0" encoding="utf-8"?>
<formControlPr xmlns="http://schemas.microsoft.com/office/spreadsheetml/2009/9/main" objectType="CheckBox" fmlaLink="NeoBerAfspr!$L$22" lockText="1"/>
</file>

<file path=xl/ctrlProps/ctrlProp786.xml><?xml version="1.0" encoding="utf-8"?>
<formControlPr xmlns="http://schemas.microsoft.com/office/spreadsheetml/2009/9/main" objectType="CheckBox" fmlaLink="NeoBerAfspr!$L$23" lockText="1"/>
</file>

<file path=xl/ctrlProps/ctrlProp787.xml><?xml version="1.0" encoding="utf-8"?>
<formControlPr xmlns="http://schemas.microsoft.com/office/spreadsheetml/2009/9/main" objectType="Spin" dx="15" fmlaLink="NeoBerAfspr!$B$12" max="24" page="10" val="0"/>
</file>

<file path=xl/ctrlProps/ctrlProp788.xml><?xml version="1.0" encoding="utf-8"?>
<formControlPr xmlns="http://schemas.microsoft.com/office/spreadsheetml/2009/9/main" objectType="Spin" dx="15" fmlaLink="NeoBerAfspr!$K$17" max="24" page="10" val="0"/>
</file>

<file path=xl/ctrlProps/ctrlProp789.xml><?xml version="1.0" encoding="utf-8"?>
<formControlPr xmlns="http://schemas.microsoft.com/office/spreadsheetml/2009/9/main" objectType="Spin" dx="15" fmlaLink="NeoBerAfspr!$L$17" max="1000" page="10" val="0"/>
</file>

<file path=xl/ctrlProps/ctrlProp790.xml><?xml version="1.0" encoding="utf-8"?>
<formControlPr xmlns="http://schemas.microsoft.com/office/spreadsheetml/2009/9/main" objectType="CheckBox" fmlaLink="NeoBerAfspr!$B$27" lockText="1"/>
</file>

<file path=xl/ctrlProps/ctrlProp791.xml><?xml version="1.0" encoding="utf-8"?>
<formControlPr xmlns="http://schemas.microsoft.com/office/spreadsheetml/2009/9/main" objectType="CheckBox" fmlaLink="NeoBerAfspr!$B$28" lockText="1"/>
</file>

<file path=xl/ctrlProps/ctrlProp792.xml><?xml version="1.0" encoding="utf-8"?>
<formControlPr xmlns="http://schemas.microsoft.com/office/spreadsheetml/2009/9/main" objectType="CheckBox" fmlaLink="NeoBerAfspr!$B$29" lockText="1"/>
</file>

<file path=xl/ctrlProps/ctrlProp793.xml><?xml version="1.0" encoding="utf-8"?>
<formControlPr xmlns="http://schemas.microsoft.com/office/spreadsheetml/2009/9/main" objectType="CheckBox" fmlaLink="NeoBerAfspr!$B$30" lockText="1"/>
</file>

<file path=xl/ctrlProps/ctrlProp794.xml><?xml version="1.0" encoding="utf-8"?>
<formControlPr xmlns="http://schemas.microsoft.com/office/spreadsheetml/2009/9/main" objectType="CheckBox" fmlaLink="NeoBerAfspr!$B$34" lockText="1"/>
</file>

<file path=xl/ctrlProps/ctrlProp795.xml><?xml version="1.0" encoding="utf-8"?>
<formControlPr xmlns="http://schemas.microsoft.com/office/spreadsheetml/2009/9/main" objectType="CheckBox" checked="Checked" fmlaLink="NeoBerAfspr!$D$35" lockText="1"/>
</file>

<file path=xl/ctrlProps/ctrlProp796.xml><?xml version="1.0" encoding="utf-8"?>
<formControlPr xmlns="http://schemas.microsoft.com/office/spreadsheetml/2009/9/main" objectType="CheckBox" checked="Checked" fmlaLink="NeoBerAfspr!$D$36" lockText="1"/>
</file>

<file path=xl/ctrlProps/ctrlProp797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8.xml><?xml version="1.0" encoding="utf-8"?>
<formControlPr xmlns="http://schemas.microsoft.com/office/spreadsheetml/2009/9/main" objectType="CheckBox" fmlaLink="NeoBerAfspr!$B$37" lockText="1"/>
</file>

<file path=xl/ctrlProps/ctrlProp799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0.xml><?xml version="1.0" encoding="utf-8"?>
<formControlPr xmlns="http://schemas.microsoft.com/office/spreadsheetml/2009/9/main" objectType="CheckBox" fmlaLink="NeoBerAfspr!$B$7" lockText="1"/>
</file>

<file path=xl/ctrlProps/ctrlProp801.xml><?xml version="1.0" encoding="utf-8"?>
<formControlPr xmlns="http://schemas.microsoft.com/office/spreadsheetml/2009/9/main" objectType="CheckBox" fmlaLink="NeoBerAfspr!$B$8" lockText="1"/>
</file>

<file path=xl/ctrlProps/ctrlProp802.xml><?xml version="1.0" encoding="utf-8"?>
<formControlPr xmlns="http://schemas.microsoft.com/office/spreadsheetml/2009/9/main" objectType="CheckBox" fmlaLink="NeoBerAfspr!$B$9" lockText="1"/>
</file>

<file path=xl/ctrlProps/ctrlProp803.xml><?xml version="1.0" encoding="utf-8"?>
<formControlPr xmlns="http://schemas.microsoft.com/office/spreadsheetml/2009/9/main" objectType="CheckBox" fmlaLink="NeoBerAfspr!$B$10" lockText="1"/>
</file>

<file path=xl/ctrlProps/ctrlProp804.xml><?xml version="1.0" encoding="utf-8"?>
<formControlPr xmlns="http://schemas.microsoft.com/office/spreadsheetml/2009/9/main" objectType="CheckBox" fmlaLink="NeoBerAfspr!$B$22" lockText="1"/>
</file>

<file path=xl/ctrlProps/ctrlProp805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6.xml><?xml version="1.0" encoding="utf-8"?>
<formControlPr xmlns="http://schemas.microsoft.com/office/spreadsheetml/2009/9/main" objectType="CheckBox" fmlaLink="NeoBerAfspr!$B$23" lockText="1"/>
</file>

<file path=xl/ctrlProps/ctrlProp807.xml><?xml version="1.0" encoding="utf-8"?>
<formControlPr xmlns="http://schemas.microsoft.com/office/spreadsheetml/2009/9/main" objectType="CheckBox" fmlaLink="NeoBerAfspr!$B$25" lockText="1"/>
</file>

<file path=xl/ctrlProps/ctrlProp808.xml><?xml version="1.0" encoding="utf-8"?>
<formControlPr xmlns="http://schemas.microsoft.com/office/spreadsheetml/2009/9/main" objectType="CheckBox" fmlaLink="NeoBerAfspr!$B$26" lockText="1"/>
</file>

<file path=xl/ctrlProps/ctrlProp809.xml><?xml version="1.0" encoding="utf-8"?>
<formControlPr xmlns="http://schemas.microsoft.com/office/spreadsheetml/2009/9/main" objectType="CheckBox" fmlaLink="NeoBerAfspr!$B$24" lockText="1"/>
</file>

<file path=xl/ctrlProps/ctrlProp810.xml><?xml version="1.0" encoding="utf-8"?>
<formControlPr xmlns="http://schemas.microsoft.com/office/spreadsheetml/2009/9/main" objectType="CheckBox" fmlaLink="NeoBerAfspr!$B$31" lockText="1"/>
</file>

<file path=xl/ctrlProps/ctrlProp811.xml><?xml version="1.0" encoding="utf-8"?>
<formControlPr xmlns="http://schemas.microsoft.com/office/spreadsheetml/2009/9/main" objectType="CheckBox" fmlaLink="NeoBerAfspr!$B$32" lockText="1"/>
</file>

<file path=xl/ctrlProps/ctrlProp812.xml><?xml version="1.0" encoding="utf-8"?>
<formControlPr xmlns="http://schemas.microsoft.com/office/spreadsheetml/2009/9/main" objectType="CheckBox" fmlaLink="NeoBerAfspr!$B$11" lockText="1"/>
</file>

<file path=xl/ctrlProps/ctrlProp813.xml><?xml version="1.0" encoding="utf-8"?>
<formControlPr xmlns="http://schemas.microsoft.com/office/spreadsheetml/2009/9/main" objectType="CheckBox" fmlaLink="NeoBerAfspr!$B$15" lockText="1"/>
</file>

<file path=xl/ctrlProps/ctrlProp814.xml><?xml version="1.0" encoding="utf-8"?>
<formControlPr xmlns="http://schemas.microsoft.com/office/spreadsheetml/2009/9/main" objectType="CheckBox" fmlaLink="NeoBerAfspr!$B$16" lockText="1"/>
</file>

<file path=xl/ctrlProps/ctrlProp815.xml><?xml version="1.0" encoding="utf-8"?>
<formControlPr xmlns="http://schemas.microsoft.com/office/spreadsheetml/2009/9/main" objectType="CheckBox" fmlaLink="NeoBerAfspr!$B$17" lockText="1"/>
</file>

<file path=xl/ctrlProps/ctrlProp816.xml><?xml version="1.0" encoding="utf-8"?>
<formControlPr xmlns="http://schemas.microsoft.com/office/spreadsheetml/2009/9/main" objectType="CheckBox" fmlaLink="NeoBerAfspr!$B$19" lockText="1"/>
</file>

<file path=xl/ctrlProps/ctrlProp817.xml><?xml version="1.0" encoding="utf-8"?>
<formControlPr xmlns="http://schemas.microsoft.com/office/spreadsheetml/2009/9/main" objectType="CheckBox" fmlaLink="NeoBerAfspr!$D$11" lockText="1"/>
</file>

<file path=xl/ctrlProps/ctrlProp818.xml><?xml version="1.0" encoding="utf-8"?>
<formControlPr xmlns="http://schemas.microsoft.com/office/spreadsheetml/2009/9/main" objectType="CheckBox" fmlaLink="NeoBerAfspr!$D$12" lockText="1"/>
</file>

<file path=xl/ctrlProps/ctrlProp819.xml><?xml version="1.0" encoding="utf-8"?>
<formControlPr xmlns="http://schemas.microsoft.com/office/spreadsheetml/2009/9/main" objectType="CheckBox" fmlaLink="NeoBerAfspr!$D$13" lockText="1"/>
</file>

<file path=xl/ctrlProps/ctrlProp820.xml><?xml version="1.0" encoding="utf-8"?>
<formControlPr xmlns="http://schemas.microsoft.com/office/spreadsheetml/2009/9/main" objectType="CheckBox" fmlaLink="NeoBerAfspr!$D$14" lockText="1"/>
</file>

<file path=xl/ctrlProps/ctrlProp821.xml><?xml version="1.0" encoding="utf-8"?>
<formControlPr xmlns="http://schemas.microsoft.com/office/spreadsheetml/2009/9/main" objectType="Spin" dx="15" fmlaLink="NeoBerAfspr!$D$27" max="97" min="1" page="10" val="50"/>
</file>

<file path=xl/ctrlProps/ctrlProp822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4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5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6.xml><?xml version="1.0" encoding="utf-8"?>
<formControlPr xmlns="http://schemas.microsoft.com/office/spreadsheetml/2009/9/main" objectType="CheckBox" checked="Checked" fmlaLink="NeoBerAfspr!$D$35" lockText="1"/>
</file>

<file path=xl/ctrlProps/ctrlProp827.xml><?xml version="1.0" encoding="utf-8"?>
<formControlPr xmlns="http://schemas.microsoft.com/office/spreadsheetml/2009/9/main" objectType="CheckBox" checked="Checked" fmlaLink="NeoBerAfspr!$D$36" lockText="1"/>
</file>

<file path=xl/ctrlProps/ctrlProp828.xml><?xml version="1.0" encoding="utf-8"?>
<formControlPr xmlns="http://schemas.microsoft.com/office/spreadsheetml/2009/9/main" objectType="CheckBox" fmlaLink="NeoBerAfspr!$B$40" lockText="1"/>
</file>

<file path=xl/ctrlProps/ctrlProp829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0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1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2.xml><?xml version="1.0" encoding="utf-8"?>
<formControlPr xmlns="http://schemas.microsoft.com/office/spreadsheetml/2009/9/main" objectType="CheckBox" fmlaLink="NeoBerAfspr!$B$43" lockText="1"/>
</file>

<file path=xl/ctrlProps/ctrlProp833.xml><?xml version="1.0" encoding="utf-8"?>
<formControlPr xmlns="http://schemas.microsoft.com/office/spreadsheetml/2009/9/main" objectType="CheckBox" fmlaLink="NeoBerAfspr!$B$45" lockText="1"/>
</file>

<file path=xl/ctrlProps/ctrlProp834.xml><?xml version="1.0" encoding="utf-8"?>
<formControlPr xmlns="http://schemas.microsoft.com/office/spreadsheetml/2009/9/main" objectType="CheckBox" fmlaLink="NeoBerAfspr!$B$44" lockText="1"/>
</file>

<file path=xl/ctrlProps/ctrlProp835.xml><?xml version="1.0" encoding="utf-8"?>
<formControlPr xmlns="http://schemas.microsoft.com/office/spreadsheetml/2009/9/main" objectType="CheckBox" fmlaLink="NeoBerAfspr!$D$43" lockText="1"/>
</file>

<file path=xl/ctrlProps/ctrlProp836.xml><?xml version="1.0" encoding="utf-8"?>
<formControlPr xmlns="http://schemas.microsoft.com/office/spreadsheetml/2009/9/main" objectType="CheckBox" fmlaLink="NeoBerAfspr!$D$44" lockText="1"/>
</file>

<file path=xl/ctrlProps/ctrlProp837.xml><?xml version="1.0" encoding="utf-8"?>
<formControlPr xmlns="http://schemas.microsoft.com/office/spreadsheetml/2009/9/main" objectType="CheckBox" fmlaLink="NeoBerAfspr!$D$45" lockText="1"/>
</file>

<file path=xl/ctrlProps/ctrlProp838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9.xml><?xml version="1.0" encoding="utf-8"?>
<formControlPr xmlns="http://schemas.microsoft.com/office/spreadsheetml/2009/9/main" objectType="Spin" dx="15" fmlaLink="NeoBerAfspr!$D$47" max="100" page="10" val="0"/>
</file>

<file path=xl/ctrlProps/ctrlProp840.xml><?xml version="1.0" encoding="utf-8"?>
<formControlPr xmlns="http://schemas.microsoft.com/office/spreadsheetml/2009/9/main" objectType="CheckBox" fmlaLink="NeoBerAfspr!$B$46" lockText="1"/>
</file>

<file path=xl/ctrlProps/ctrlProp841.xml><?xml version="1.0" encoding="utf-8"?>
<formControlPr xmlns="http://schemas.microsoft.com/office/spreadsheetml/2009/9/main" objectType="CheckBox" fmlaLink="NeoBerAfspr!$L$28" lockText="1"/>
</file>

<file path=xl/ctrlProps/ctrlProp842.xml><?xml version="1.0" encoding="utf-8"?>
<formControlPr xmlns="http://schemas.microsoft.com/office/spreadsheetml/2009/9/main" objectType="Spin" dx="15" fmlaLink="NeoBerAfspr!$C$8" max="10" page="10" val="0"/>
</file>

<file path=xl/ctrlProps/ctrlProp843.xml><?xml version="1.0" encoding="utf-8"?>
<formControlPr xmlns="http://schemas.microsoft.com/office/spreadsheetml/2009/9/main" objectType="Spin" dx="15" fmlaLink="PedBerAfspr!$C$8" max="10" page="10" val="0"/>
</file>

<file path=xl/ctrlProps/ctrlProp844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5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6.xml><?xml version="1.0" encoding="utf-8"?>
<formControlPr xmlns="http://schemas.microsoft.com/office/spreadsheetml/2009/9/main" objectType="Spin" dx="15" fmlaLink="PedBerAfspr!$C$8" max="10" page="10" val="0"/>
</file>

<file path=xl/ctrlProps/ctrlProp847.xml><?xml version="1.0" encoding="utf-8"?>
<formControlPr xmlns="http://schemas.microsoft.com/office/spreadsheetml/2009/9/main" objectType="Spin" dx="15" fmlaLink="NeoBerAfspr!$C$9" max="10" page="10" val="0"/>
</file>

<file path=xl/ctrlProps/ctrlProp848.xml><?xml version="1.0" encoding="utf-8"?>
<formControlPr xmlns="http://schemas.microsoft.com/office/spreadsheetml/2009/9/main" objectType="Spin" dx="15" fmlaLink="NeoBerAfspr!$K$20" max="24" page="10" val="0"/>
</file>

<file path=xl/ctrlProps/ctrlProp849.xml><?xml version="1.0" encoding="utf-8"?>
<formControlPr xmlns="http://schemas.microsoft.com/office/spreadsheetml/2009/9/main" objectType="CheckBox" fmlaLink="NeoBerAfspr!$J$29" lockText="1"/>
</file>

<file path=xl/ctrlProps/ctrlProp850.xml><?xml version="1.0" encoding="utf-8"?>
<formControlPr xmlns="http://schemas.microsoft.com/office/spreadsheetml/2009/9/main" objectType="Spin" dx="15" fmlaLink="NeoBerAfspr!$K$29" max="3" page="10" val="0"/>
</file>

<file path=xl/ctrlProps/ctrlProp851.xml><?xml version="1.0" encoding="utf-8"?>
<formControlPr xmlns="http://schemas.microsoft.com/office/spreadsheetml/2009/9/main" objectType="CheckBox" fmlaLink="NeoBerAfspr!$B$18" lockText="1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Spin" dx="15" fmlaLink="NeoBerAfspr!$C$18" max="10" page="10" val="0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ctrlProps/ctrlProp1136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1"/>
              <a:chExt cx="137160" cy="7586883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4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04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7.xml"/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47" Type="http://schemas.openxmlformats.org/officeDocument/2006/relationships/ctrlProp" Target="../ctrlProps/ctrlProp428.xml"/><Relationship Id="rId63" Type="http://schemas.openxmlformats.org/officeDocument/2006/relationships/ctrlProp" Target="../ctrlProps/ctrlProp444.xml"/><Relationship Id="rId68" Type="http://schemas.openxmlformats.org/officeDocument/2006/relationships/ctrlProp" Target="../ctrlProps/ctrlProp449.xml"/><Relationship Id="rId84" Type="http://schemas.openxmlformats.org/officeDocument/2006/relationships/ctrlProp" Target="../ctrlProps/ctrlProp465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38" Type="http://schemas.openxmlformats.org/officeDocument/2006/relationships/ctrlProp" Target="../ctrlProps/ctrlProp519.xml"/><Relationship Id="rId154" Type="http://schemas.openxmlformats.org/officeDocument/2006/relationships/ctrlProp" Target="../ctrlProps/ctrlProp535.xml"/><Relationship Id="rId159" Type="http://schemas.openxmlformats.org/officeDocument/2006/relationships/ctrlProp" Target="../ctrlProps/ctrlProp540.xml"/><Relationship Id="rId16" Type="http://schemas.openxmlformats.org/officeDocument/2006/relationships/ctrlProp" Target="../ctrlProps/ctrlProp397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37" Type="http://schemas.openxmlformats.org/officeDocument/2006/relationships/ctrlProp" Target="../ctrlProps/ctrlProp418.xml"/><Relationship Id="rId53" Type="http://schemas.openxmlformats.org/officeDocument/2006/relationships/ctrlProp" Target="../ctrlProps/ctrlProp434.xml"/><Relationship Id="rId58" Type="http://schemas.openxmlformats.org/officeDocument/2006/relationships/ctrlProp" Target="../ctrlProps/ctrlProp439.xml"/><Relationship Id="rId74" Type="http://schemas.openxmlformats.org/officeDocument/2006/relationships/ctrlProp" Target="../ctrlProps/ctrlProp455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28" Type="http://schemas.openxmlformats.org/officeDocument/2006/relationships/ctrlProp" Target="../ctrlProps/ctrlProp509.xml"/><Relationship Id="rId144" Type="http://schemas.openxmlformats.org/officeDocument/2006/relationships/ctrlProp" Target="../ctrlProps/ctrlProp525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0" Type="http://schemas.openxmlformats.org/officeDocument/2006/relationships/ctrlProp" Target="../ctrlProps/ctrlProp471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27" Type="http://schemas.openxmlformats.org/officeDocument/2006/relationships/ctrlProp" Target="../ctrlProps/ctrlProp408.xml"/><Relationship Id="rId43" Type="http://schemas.openxmlformats.org/officeDocument/2006/relationships/ctrlProp" Target="../ctrlProps/ctrlProp424.xml"/><Relationship Id="rId48" Type="http://schemas.openxmlformats.org/officeDocument/2006/relationships/ctrlProp" Target="../ctrlProps/ctrlProp429.xml"/><Relationship Id="rId64" Type="http://schemas.openxmlformats.org/officeDocument/2006/relationships/ctrlProp" Target="../ctrlProps/ctrlProp445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18" Type="http://schemas.openxmlformats.org/officeDocument/2006/relationships/ctrlProp" Target="../ctrlProps/ctrlProp499.xml"/><Relationship Id="rId134" Type="http://schemas.openxmlformats.org/officeDocument/2006/relationships/ctrlProp" Target="../ctrlProps/ctrlProp515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54" Type="http://schemas.openxmlformats.org/officeDocument/2006/relationships/ctrlProp" Target="../ctrlProps/ctrlProp435.xml"/><Relationship Id="rId62" Type="http://schemas.openxmlformats.org/officeDocument/2006/relationships/ctrlProp" Target="../ctrlProps/ctrlProp443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53" Type="http://schemas.openxmlformats.org/officeDocument/2006/relationships/ctrlProp" Target="../ctrlProps/ctrlProp53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7.xml"/><Relationship Id="rId15" Type="http://schemas.openxmlformats.org/officeDocument/2006/relationships/ctrlProp" Target="../ctrlProps/ctrlProp396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36" Type="http://schemas.openxmlformats.org/officeDocument/2006/relationships/ctrlProp" Target="../ctrlProps/ctrlProp417.xml"/><Relationship Id="rId49" Type="http://schemas.openxmlformats.org/officeDocument/2006/relationships/ctrlProp" Target="../ctrlProps/ctrlProp430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44" Type="http://schemas.openxmlformats.org/officeDocument/2006/relationships/ctrlProp" Target="../ctrlProps/ctrlProp425.xml"/><Relationship Id="rId52" Type="http://schemas.openxmlformats.org/officeDocument/2006/relationships/ctrlProp" Target="../ctrlProps/ctrlProp433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/Relationships>
</file>

<file path=xl/worksheets/_rels/sheet3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61" Type="http://schemas.openxmlformats.org/officeDocument/2006/relationships/ctrlProp" Target="../ctrlProps/ctrlProp598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9.xml"/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56" Type="http://schemas.openxmlformats.org/officeDocument/2006/relationships/ctrlProp" Target="../ctrlProps/ctrlProp659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25" Type="http://schemas.openxmlformats.org/officeDocument/2006/relationships/ctrlProp" Target="../ctrlProps/ctrlProp628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46" Type="http://schemas.openxmlformats.org/officeDocument/2006/relationships/ctrlProp" Target="../ctrlProps/ctrlProp649.xml"/><Relationship Id="rId59" Type="http://schemas.openxmlformats.org/officeDocument/2006/relationships/ctrlProp" Target="../ctrlProps/ctrlProp662.xml"/><Relationship Id="rId67" Type="http://schemas.openxmlformats.org/officeDocument/2006/relationships/ctrlProp" Target="../ctrlProps/ctrlProp670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16" Type="http://schemas.openxmlformats.org/officeDocument/2006/relationships/ctrlProp" Target="../ctrlProps/ctrlProp719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54" Type="http://schemas.openxmlformats.org/officeDocument/2006/relationships/ctrlProp" Target="../ctrlProps/ctrlProp657.xml"/><Relationship Id="rId62" Type="http://schemas.openxmlformats.org/officeDocument/2006/relationships/ctrlProp" Target="../ctrlProps/ctrlProp665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11" Type="http://schemas.openxmlformats.org/officeDocument/2006/relationships/ctrlProp" Target="../ctrlProps/ctrlProp714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9.xml"/><Relationship Id="rId15" Type="http://schemas.openxmlformats.org/officeDocument/2006/relationships/ctrlProp" Target="../ctrlProps/ctrlProp618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36" Type="http://schemas.openxmlformats.org/officeDocument/2006/relationships/ctrlProp" Target="../ctrlProps/ctrlProp639.xml"/><Relationship Id="rId49" Type="http://schemas.openxmlformats.org/officeDocument/2006/relationships/ctrlProp" Target="../ctrlProps/ctrlProp652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44" Type="http://schemas.openxmlformats.org/officeDocument/2006/relationships/ctrlProp" Target="../ctrlProps/ctrlProp647.xml"/><Relationship Id="rId52" Type="http://schemas.openxmlformats.org/officeDocument/2006/relationships/ctrlProp" Target="../ctrlProps/ctrlProp655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130" Type="http://schemas.openxmlformats.org/officeDocument/2006/relationships/ctrlProp" Target="../ctrlProps/ctrlProp733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284" Type="http://schemas.openxmlformats.org/officeDocument/2006/relationships/ctrlProp" Target="../ctrlProps/ctrlProp1136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60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4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650" customWidth="1"/>
    <col min="2" max="3" width="5.42578125" style="650" customWidth="1"/>
    <col min="4" max="4" width="3.140625" style="650" customWidth="1"/>
    <col min="5" max="5" width="9.42578125" style="650" customWidth="1"/>
    <col min="6" max="6" width="9.140625" style="650"/>
    <col min="7" max="7" width="9.5703125" style="650" customWidth="1"/>
    <col min="8" max="8" width="9.140625" style="650"/>
    <col min="9" max="9" width="9.5703125" style="650" customWidth="1"/>
    <col min="10" max="10" width="10.7109375" style="650" customWidth="1"/>
    <col min="11" max="11" width="9.140625" style="650"/>
    <col min="12" max="12" width="9.28515625" style="650" customWidth="1"/>
    <col min="13" max="13" width="14.42578125" style="650" customWidth="1"/>
    <col min="14" max="14" width="5.28515625" style="650" customWidth="1"/>
    <col min="15" max="15" width="7" style="650" customWidth="1"/>
    <col min="16" max="16" width="11" style="650" customWidth="1"/>
    <col min="17" max="17" width="10.140625" style="650" customWidth="1"/>
    <col min="18" max="18" width="9.140625" style="650"/>
    <col min="19" max="19" width="30.7109375" style="650" customWidth="1"/>
    <col min="20" max="16384" width="9.140625" style="650"/>
  </cols>
  <sheetData>
    <row r="1" spans="2:67" s="642" customFormat="1" ht="17.25" customHeight="1" x14ac:dyDescent="0.2">
      <c r="B1" s="790"/>
      <c r="C1" s="790"/>
      <c r="D1" s="564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564"/>
      <c r="P1" s="564"/>
      <c r="Q1" s="564"/>
      <c r="R1" s="564"/>
      <c r="S1" s="564"/>
    </row>
    <row r="2" spans="2:67" s="642" customFormat="1" ht="17.25" customHeight="1" x14ac:dyDescent="0.2">
      <c r="B2" s="564"/>
      <c r="C2" s="564"/>
      <c r="D2" s="564"/>
      <c r="E2" s="596" t="s">
        <v>297</v>
      </c>
      <c r="F2" s="564"/>
      <c r="G2" s="597">
        <f ca="1">Var_AfspraakDatum</f>
        <v>42751</v>
      </c>
      <c r="H2" s="598"/>
      <c r="I2" s="596" t="s">
        <v>298</v>
      </c>
      <c r="J2" s="596"/>
      <c r="K2" s="791" t="str">
        <f>PatDetails!B15</f>
        <v/>
      </c>
      <c r="L2" s="564"/>
      <c r="M2" s="564" t="str">
        <f>PatDetails!B23</f>
        <v>Gewicht:</v>
      </c>
      <c r="N2" s="596"/>
      <c r="O2" s="564"/>
      <c r="P2" s="564" t="s">
        <v>490</v>
      </c>
      <c r="Q2" s="792">
        <f>__1_Bed</f>
        <v>0</v>
      </c>
      <c r="R2" s="792"/>
      <c r="S2" s="564"/>
    </row>
    <row r="3" spans="2:67" s="642" customFormat="1" ht="17.25" customHeight="1" x14ac:dyDescent="0.2">
      <c r="B3" s="564"/>
      <c r="C3" s="564"/>
      <c r="D3" s="564"/>
      <c r="E3" s="596" t="s">
        <v>28</v>
      </c>
      <c r="F3" s="564"/>
      <c r="G3" s="601" t="str">
        <f>PatDetails!B21</f>
        <v/>
      </c>
      <c r="H3" s="601"/>
      <c r="I3" s="596" t="s">
        <v>305</v>
      </c>
      <c r="J3" s="596"/>
      <c r="K3" s="793" t="str">
        <f ca="1">PatDetails!B16</f>
        <v/>
      </c>
      <c r="L3" s="564"/>
      <c r="M3" s="564" t="str">
        <f>PatDetails!B24</f>
        <v>Lengte:</v>
      </c>
      <c r="N3" s="596"/>
      <c r="O3" s="564"/>
      <c r="P3" s="564"/>
      <c r="Q3" s="596"/>
      <c r="R3" s="564"/>
      <c r="S3" s="564"/>
    </row>
    <row r="4" spans="2:67" s="642" customFormat="1" ht="17.25" customHeight="1" x14ac:dyDescent="0.2">
      <c r="B4" s="564"/>
      <c r="C4" s="564"/>
      <c r="D4" s="564"/>
      <c r="E4" s="602" t="s">
        <v>4314</v>
      </c>
      <c r="F4" s="631"/>
      <c r="G4" s="596" t="str">
        <f>PatDetails!B17</f>
        <v/>
      </c>
      <c r="H4" s="598"/>
      <c r="I4" s="596" t="s">
        <v>268</v>
      </c>
      <c r="J4" s="596"/>
      <c r="K4" s="631" t="str">
        <f ca="1">PatDetails!B20</f>
        <v/>
      </c>
      <c r="L4" s="564"/>
      <c r="M4" s="564" t="str">
        <f>PatDetails!B25</f>
        <v>Lichamelijk oppervlak:</v>
      </c>
      <c r="N4" s="596"/>
      <c r="O4" s="564"/>
      <c r="P4" s="596"/>
      <c r="Q4" s="596"/>
      <c r="R4" s="631"/>
      <c r="S4" s="631"/>
    </row>
    <row r="5" spans="2:67" s="642" customFormat="1" ht="8.1" customHeight="1" x14ac:dyDescent="0.2">
      <c r="B5" s="564"/>
      <c r="C5" s="564"/>
      <c r="D5" s="564"/>
      <c r="E5" s="564"/>
      <c r="F5" s="564"/>
      <c r="G5" s="564"/>
      <c r="H5" s="564"/>
      <c r="I5" s="564"/>
      <c r="J5" s="564"/>
      <c r="K5" s="564"/>
      <c r="L5" s="564"/>
      <c r="M5" s="564"/>
      <c r="N5" s="564"/>
      <c r="O5" s="564"/>
      <c r="P5" s="564"/>
      <c r="Q5" s="564"/>
      <c r="R5" s="564"/>
      <c r="S5" s="564"/>
    </row>
    <row r="6" spans="2:67" s="647" customFormat="1" ht="8.1" customHeight="1" x14ac:dyDescent="0.2"/>
    <row r="7" spans="2:67" s="647" customFormat="1" ht="20.100000000000001" customHeight="1" x14ac:dyDescent="0.2">
      <c r="B7" s="809" t="s">
        <v>4312</v>
      </c>
      <c r="C7" s="809" t="s">
        <v>4112</v>
      </c>
      <c r="D7" s="638"/>
      <c r="E7" s="637" t="s">
        <v>324</v>
      </c>
      <c r="F7" s="636"/>
      <c r="G7" s="638"/>
      <c r="H7" s="638"/>
      <c r="I7" s="638" t="s">
        <v>203</v>
      </c>
      <c r="J7" s="638" t="s">
        <v>594</v>
      </c>
      <c r="K7" s="638"/>
      <c r="L7" s="638" t="s">
        <v>439</v>
      </c>
      <c r="M7" s="638" t="s">
        <v>325</v>
      </c>
      <c r="N7" s="638" t="s">
        <v>150</v>
      </c>
      <c r="O7" s="638"/>
      <c r="P7" s="638"/>
      <c r="Q7" s="638" t="s">
        <v>4116</v>
      </c>
      <c r="R7" s="638" t="s">
        <v>369</v>
      </c>
      <c r="S7" s="638" t="s">
        <v>237</v>
      </c>
    </row>
    <row r="8" spans="2:67" ht="8.1" customHeight="1" x14ac:dyDescent="0.2">
      <c r="B8" s="624"/>
      <c r="C8" s="624"/>
      <c r="D8" s="624"/>
      <c r="E8" s="648"/>
      <c r="F8" s="649"/>
      <c r="G8" s="624"/>
      <c r="H8" s="624"/>
      <c r="I8" s="624"/>
      <c r="J8" s="624"/>
      <c r="K8" s="624"/>
      <c r="L8" s="624"/>
      <c r="M8" s="624"/>
      <c r="N8" s="624"/>
      <c r="O8" s="624"/>
      <c r="P8" s="624"/>
      <c r="Q8" s="624"/>
      <c r="R8" s="624"/>
      <c r="S8" s="624"/>
      <c r="T8" s="610"/>
      <c r="U8" s="610"/>
      <c r="V8" s="610"/>
      <c r="W8" s="647"/>
      <c r="X8" s="647"/>
      <c r="Y8" s="647"/>
    </row>
    <row r="9" spans="2:67" ht="20.100000000000001" customHeight="1" thickBot="1" x14ac:dyDescent="0.25">
      <c r="B9" s="651" t="str">
        <f>GlobBerMedDisc!AL2</f>
        <v/>
      </c>
      <c r="C9" s="651" t="str">
        <f>GlobBerMedDisc!AO2</f>
        <v/>
      </c>
      <c r="D9" s="778">
        <v>1</v>
      </c>
      <c r="E9" s="865" t="str">
        <f>GlobBerMedDisc!AP2</f>
        <v/>
      </c>
      <c r="F9" s="866"/>
      <c r="G9" s="866"/>
      <c r="H9" s="866"/>
      <c r="I9" s="723" t="str">
        <f>GlobBerMedDisc!W2</f>
        <v/>
      </c>
      <c r="J9" s="724" t="str">
        <f>IF(GlobBerMedDisc!C2&gt;1,GlobBerMedDisc!H2,"")</f>
        <v/>
      </c>
      <c r="K9" s="725" t="str">
        <f>IF(GlobBerMedDisc!C2&gt;1,GlobBerMedDisc!F2,"")</f>
        <v/>
      </c>
      <c r="L9" s="726">
        <f>GlobBerMedDisc!L2</f>
        <v>0</v>
      </c>
      <c r="M9" s="726" t="str">
        <f>GlobBerMedDisc!AM2</f>
        <v/>
      </c>
      <c r="N9" s="726" t="str">
        <f>IF(AND(GlobBerMedDisc!C2&gt;1,GlobBerMedDisc!O2&gt;1),GlobBerMedDisc!N2,"")</f>
        <v/>
      </c>
      <c r="O9" s="726" t="str">
        <f>IF(AND(GlobBerMedDisc!C2&gt;1,N9&lt;&gt;0,GlobBerMedDisc!O2&gt;1),"ml","")</f>
        <v/>
      </c>
      <c r="P9" s="726"/>
      <c r="Q9" s="726" t="str">
        <f>GlobBerMedDisc!AN2</f>
        <v/>
      </c>
      <c r="R9" s="726" t="str">
        <f>IF(AND(N9&lt;&gt;"",GlobBerMedDisc!Q2&gt;0),GlobBerMedDisc!Q2&amp;" min","")</f>
        <v/>
      </c>
      <c r="S9" s="727">
        <f>GlobBerMedDisc!AB2</f>
        <v>0</v>
      </c>
      <c r="T9" s="647"/>
      <c r="U9" s="647"/>
      <c r="V9" s="647"/>
      <c r="W9" s="647"/>
      <c r="X9" s="647"/>
      <c r="Y9" s="647"/>
    </row>
    <row r="10" spans="2:67" ht="20.100000000000001" customHeight="1" thickTop="1" thickBot="1" x14ac:dyDescent="0.25">
      <c r="B10" s="651" t="str">
        <f>GlobBerMedDisc!AL3</f>
        <v/>
      </c>
      <c r="C10" s="651" t="str">
        <f>GlobBerMedDisc!AO3</f>
        <v/>
      </c>
      <c r="D10" s="778">
        <v>2</v>
      </c>
      <c r="E10" s="863" t="str">
        <f>GlobBerMedDisc!AP3</f>
        <v/>
      </c>
      <c r="F10" s="864"/>
      <c r="G10" s="864"/>
      <c r="H10" s="864"/>
      <c r="I10" s="728" t="str">
        <f>GlobBerMedDisc!W3</f>
        <v/>
      </c>
      <c r="J10" s="729" t="str">
        <f>IF(GlobBerMedDisc!C3&gt;1,GlobBerMedDisc!H3,"")</f>
        <v/>
      </c>
      <c r="K10" s="730" t="str">
        <f>IF(GlobBerMedDisc!C3&gt;1,GlobBerMedDisc!F3,"")</f>
        <v/>
      </c>
      <c r="L10" s="731">
        <f>GlobBerMedDisc!L3</f>
        <v>0</v>
      </c>
      <c r="M10" s="731" t="str">
        <f>GlobBerMedDisc!AM3</f>
        <v/>
      </c>
      <c r="N10" s="731" t="str">
        <f>IF(AND(GlobBerMedDisc!C3&gt;1,GlobBerMedDisc!O3&gt;1),GlobBerMedDisc!N3,"")</f>
        <v/>
      </c>
      <c r="O10" s="731" t="str">
        <f>IF(AND(GlobBerMedDisc!C3&gt;1,N10&lt;&gt;0,GlobBerMedDisc!O3&gt;1),"ml","")</f>
        <v/>
      </c>
      <c r="P10" s="731"/>
      <c r="Q10" s="731" t="str">
        <f>GlobBerMedDisc!AN3</f>
        <v/>
      </c>
      <c r="R10" s="731" t="str">
        <f>IF(AND(N10&lt;&gt;"",GlobBerMedDisc!Q3&gt;0),GlobBerMedDisc!Q3&amp;" min","")</f>
        <v/>
      </c>
      <c r="S10" s="732">
        <f>GlobBerMedDisc!AB3</f>
        <v>0</v>
      </c>
      <c r="T10" s="647"/>
      <c r="U10" s="647"/>
      <c r="V10" s="647"/>
      <c r="W10" s="647"/>
      <c r="X10" s="647"/>
      <c r="Y10" s="647"/>
    </row>
    <row r="11" spans="2:67" ht="20.100000000000001" customHeight="1" thickTop="1" thickBot="1" x14ac:dyDescent="0.25">
      <c r="B11" s="651" t="str">
        <f>GlobBerMedDisc!AL4</f>
        <v/>
      </c>
      <c r="C11" s="651" t="str">
        <f>GlobBerMedDisc!AO4</f>
        <v/>
      </c>
      <c r="D11" s="778">
        <v>3</v>
      </c>
      <c r="E11" s="863" t="str">
        <f>GlobBerMedDisc!AP4</f>
        <v/>
      </c>
      <c r="F11" s="864"/>
      <c r="G11" s="864"/>
      <c r="H11" s="864"/>
      <c r="I11" s="728" t="str">
        <f>GlobBerMedDisc!W4</f>
        <v/>
      </c>
      <c r="J11" s="729" t="str">
        <f>IF(GlobBerMedDisc!C4&gt;1,GlobBerMedDisc!H4,"")</f>
        <v/>
      </c>
      <c r="K11" s="730" t="str">
        <f>IF(GlobBerMedDisc!C4&gt;1,GlobBerMedDisc!F4,"")</f>
        <v/>
      </c>
      <c r="L11" s="731">
        <f>GlobBerMedDisc!L4</f>
        <v>0</v>
      </c>
      <c r="M11" s="731" t="str">
        <f>GlobBerMedDisc!AM4</f>
        <v/>
      </c>
      <c r="N11" s="731" t="str">
        <f>IF(AND(GlobBerMedDisc!C4&gt;1,GlobBerMedDisc!O4&gt;1),GlobBerMedDisc!N4,"")</f>
        <v/>
      </c>
      <c r="O11" s="731" t="str">
        <f>IF(AND(GlobBerMedDisc!C4&gt;1,N11&lt;&gt;0,GlobBerMedDisc!O4&gt;1),"ml","")</f>
        <v/>
      </c>
      <c r="P11" s="731"/>
      <c r="Q11" s="731" t="str">
        <f>GlobBerMedDisc!AN4</f>
        <v/>
      </c>
      <c r="R11" s="731" t="str">
        <f>IF(AND(N11&lt;&gt;"",GlobBerMedDisc!Q4&gt;0),GlobBerMedDisc!Q4&amp;" min","")</f>
        <v/>
      </c>
      <c r="S11" s="732">
        <f>GlobBerMedDisc!AB4</f>
        <v>0</v>
      </c>
      <c r="T11" s="647"/>
      <c r="U11" s="647"/>
      <c r="V11" s="647"/>
      <c r="W11" s="647"/>
      <c r="X11" s="647"/>
      <c r="Y11" s="647"/>
    </row>
    <row r="12" spans="2:67" ht="20.100000000000001" customHeight="1" thickTop="1" thickBot="1" x14ac:dyDescent="0.25">
      <c r="B12" s="651" t="str">
        <f>GlobBerMedDisc!AL5</f>
        <v/>
      </c>
      <c r="C12" s="651" t="str">
        <f>GlobBerMedDisc!AO5</f>
        <v/>
      </c>
      <c r="D12" s="778">
        <v>4</v>
      </c>
      <c r="E12" s="863" t="str">
        <f>GlobBerMedDisc!AP5</f>
        <v/>
      </c>
      <c r="F12" s="864"/>
      <c r="G12" s="864"/>
      <c r="H12" s="864"/>
      <c r="I12" s="728" t="str">
        <f>GlobBerMedDisc!W5</f>
        <v/>
      </c>
      <c r="J12" s="729" t="str">
        <f>IF(GlobBerMedDisc!C5&gt;1,GlobBerMedDisc!H5,"")</f>
        <v/>
      </c>
      <c r="K12" s="730" t="str">
        <f>IF(GlobBerMedDisc!C5&gt;1,GlobBerMedDisc!F5,"")</f>
        <v/>
      </c>
      <c r="L12" s="731">
        <f>GlobBerMedDisc!L5</f>
        <v>0</v>
      </c>
      <c r="M12" s="731" t="str">
        <f>GlobBerMedDisc!AM5</f>
        <v/>
      </c>
      <c r="N12" s="731" t="str">
        <f>IF(AND(GlobBerMedDisc!C5&gt;1,GlobBerMedDisc!O5&gt;1),GlobBerMedDisc!N5,"")</f>
        <v/>
      </c>
      <c r="O12" s="731" t="str">
        <f>IF(AND(GlobBerMedDisc!C5&gt;1,N12&lt;&gt;0,GlobBerMedDisc!O5&gt;1),"ml","")</f>
        <v/>
      </c>
      <c r="P12" s="731"/>
      <c r="Q12" s="731" t="str">
        <f>GlobBerMedDisc!AN5</f>
        <v/>
      </c>
      <c r="R12" s="731" t="str">
        <f>IF(AND(N12&lt;&gt;"",GlobBerMedDisc!Q5&gt;0),GlobBerMedDisc!Q5&amp;" min","")</f>
        <v/>
      </c>
      <c r="S12" s="732">
        <f>GlobBerMedDisc!AB5</f>
        <v>0</v>
      </c>
      <c r="T12" s="647"/>
      <c r="U12" s="647"/>
      <c r="V12" s="647"/>
      <c r="W12" s="647"/>
      <c r="X12" s="647"/>
      <c r="Y12" s="647"/>
    </row>
    <row r="13" spans="2:67" s="653" customFormat="1" ht="20.100000000000001" customHeight="1" thickTop="1" thickBot="1" x14ac:dyDescent="0.25">
      <c r="B13" s="651" t="str">
        <f>GlobBerMedDisc!AL6</f>
        <v/>
      </c>
      <c r="C13" s="651" t="str">
        <f>GlobBerMedDisc!AO6</f>
        <v/>
      </c>
      <c r="D13" s="778">
        <v>5</v>
      </c>
      <c r="E13" s="863" t="str">
        <f>GlobBerMedDisc!AP6</f>
        <v/>
      </c>
      <c r="F13" s="864"/>
      <c r="G13" s="864"/>
      <c r="H13" s="864"/>
      <c r="I13" s="728" t="str">
        <f>GlobBerMedDisc!W6</f>
        <v/>
      </c>
      <c r="J13" s="729" t="str">
        <f>IF(GlobBerMedDisc!C6&gt;1,GlobBerMedDisc!H6,"")</f>
        <v/>
      </c>
      <c r="K13" s="730" t="str">
        <f>IF(GlobBerMedDisc!C6&gt;1,GlobBerMedDisc!F6,"")</f>
        <v/>
      </c>
      <c r="L13" s="731">
        <f>GlobBerMedDisc!L6</f>
        <v>0</v>
      </c>
      <c r="M13" s="731" t="str">
        <f>GlobBerMedDisc!AM6</f>
        <v/>
      </c>
      <c r="N13" s="731" t="str">
        <f>IF(AND(GlobBerMedDisc!C6&gt;1,GlobBerMedDisc!O6&gt;1),GlobBerMedDisc!N6,"")</f>
        <v/>
      </c>
      <c r="O13" s="731" t="str">
        <f>IF(AND(GlobBerMedDisc!C6&gt;1,N13&lt;&gt;0,GlobBerMedDisc!O6&gt;1),"ml","")</f>
        <v/>
      </c>
      <c r="P13" s="731"/>
      <c r="Q13" s="731" t="str">
        <f>GlobBerMedDisc!AN6</f>
        <v/>
      </c>
      <c r="R13" s="731" t="str">
        <f>IF(AND(N13&lt;&gt;"",GlobBerMedDisc!Q6&gt;0),GlobBerMedDisc!Q6&amp;" min","")</f>
        <v/>
      </c>
      <c r="S13" s="732">
        <f>GlobBerMedDisc!AB6</f>
        <v>0</v>
      </c>
      <c r="T13" s="647"/>
      <c r="U13" s="647"/>
      <c r="V13" s="647"/>
      <c r="W13" s="647"/>
      <c r="X13" s="647"/>
      <c r="Y13" s="647"/>
      <c r="Z13" s="650"/>
      <c r="AA13" s="650"/>
      <c r="AB13" s="650"/>
      <c r="AC13" s="650"/>
      <c r="AD13" s="650"/>
      <c r="AE13" s="650"/>
      <c r="AF13" s="650"/>
      <c r="AG13" s="650"/>
      <c r="AH13" s="650"/>
      <c r="AI13" s="650"/>
      <c r="AJ13" s="650"/>
      <c r="AK13" s="650"/>
      <c r="AL13" s="650"/>
      <c r="AM13" s="650"/>
      <c r="AN13" s="650"/>
      <c r="AO13" s="650"/>
      <c r="AP13" s="650"/>
      <c r="AQ13" s="650"/>
      <c r="AR13" s="650"/>
      <c r="AS13" s="650"/>
      <c r="AT13" s="650"/>
      <c r="AU13" s="650"/>
      <c r="AV13" s="650"/>
      <c r="AW13" s="650"/>
      <c r="AX13" s="650"/>
      <c r="AY13" s="650"/>
      <c r="AZ13" s="650"/>
      <c r="BA13" s="650"/>
      <c r="BB13" s="650"/>
      <c r="BC13" s="650"/>
      <c r="BD13" s="650"/>
      <c r="BE13" s="650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</row>
    <row r="14" spans="2:67" ht="20.100000000000001" customHeight="1" thickTop="1" thickBot="1" x14ac:dyDescent="0.25">
      <c r="B14" s="651" t="str">
        <f>GlobBerMedDisc!AL7</f>
        <v/>
      </c>
      <c r="C14" s="651" t="str">
        <f>GlobBerMedDisc!AO7</f>
        <v/>
      </c>
      <c r="D14" s="778">
        <v>6</v>
      </c>
      <c r="E14" s="863" t="str">
        <f>GlobBerMedDisc!AP7</f>
        <v/>
      </c>
      <c r="F14" s="864"/>
      <c r="G14" s="864"/>
      <c r="H14" s="864"/>
      <c r="I14" s="728" t="str">
        <f>GlobBerMedDisc!W7</f>
        <v/>
      </c>
      <c r="J14" s="729" t="str">
        <f>IF(GlobBerMedDisc!C7&gt;1,GlobBerMedDisc!H7,"")</f>
        <v/>
      </c>
      <c r="K14" s="730" t="str">
        <f>IF(GlobBerMedDisc!C7&gt;1,GlobBerMedDisc!F7,"")</f>
        <v/>
      </c>
      <c r="L14" s="731">
        <f>GlobBerMedDisc!L7</f>
        <v>0</v>
      </c>
      <c r="M14" s="731" t="str">
        <f>GlobBerMedDisc!AM7</f>
        <v/>
      </c>
      <c r="N14" s="731" t="str">
        <f>IF(AND(GlobBerMedDisc!C7&gt;1,GlobBerMedDisc!O7&gt;1),GlobBerMedDisc!N7,"")</f>
        <v/>
      </c>
      <c r="O14" s="731" t="str">
        <f>IF(AND(GlobBerMedDisc!C7&gt;1,N14&lt;&gt;0,GlobBerMedDisc!O7&gt;1),"ml","")</f>
        <v/>
      </c>
      <c r="P14" s="731"/>
      <c r="Q14" s="731" t="str">
        <f>GlobBerMedDisc!AN7</f>
        <v/>
      </c>
      <c r="R14" s="731" t="str">
        <f>IF(AND(N14&lt;&gt;"",GlobBerMedDisc!Q7&gt;0),GlobBerMedDisc!Q7&amp;" min","")</f>
        <v/>
      </c>
      <c r="S14" s="732">
        <f>GlobBerMedDisc!AB7</f>
        <v>0</v>
      </c>
      <c r="T14" s="647"/>
      <c r="U14" s="647"/>
      <c r="V14" s="647"/>
      <c r="W14" s="647"/>
      <c r="X14" s="647"/>
      <c r="Y14" s="647"/>
    </row>
    <row r="15" spans="2:67" ht="20.100000000000001" customHeight="1" thickTop="1" thickBot="1" x14ac:dyDescent="0.25">
      <c r="B15" s="651" t="str">
        <f>GlobBerMedDisc!AL8</f>
        <v/>
      </c>
      <c r="C15" s="651" t="str">
        <f>GlobBerMedDisc!AO8</f>
        <v/>
      </c>
      <c r="D15" s="778">
        <v>7</v>
      </c>
      <c r="E15" s="863" t="str">
        <f>GlobBerMedDisc!AP8</f>
        <v/>
      </c>
      <c r="F15" s="864"/>
      <c r="G15" s="864"/>
      <c r="H15" s="864"/>
      <c r="I15" s="728" t="str">
        <f>GlobBerMedDisc!W8</f>
        <v/>
      </c>
      <c r="J15" s="729" t="str">
        <f>IF(GlobBerMedDisc!C8&gt;1,GlobBerMedDisc!H8,"")</f>
        <v/>
      </c>
      <c r="K15" s="730" t="str">
        <f>IF(GlobBerMedDisc!C8&gt;1,GlobBerMedDisc!F8,"")</f>
        <v/>
      </c>
      <c r="L15" s="731">
        <f>GlobBerMedDisc!L8</f>
        <v>0</v>
      </c>
      <c r="M15" s="731" t="str">
        <f>GlobBerMedDisc!AM8</f>
        <v/>
      </c>
      <c r="N15" s="731" t="str">
        <f>IF(AND(GlobBerMedDisc!C8&gt;1,GlobBerMedDisc!O8&gt;1),GlobBerMedDisc!N8,"")</f>
        <v/>
      </c>
      <c r="O15" s="731" t="str">
        <f>IF(AND(GlobBerMedDisc!C8&gt;1,N15&lt;&gt;0,GlobBerMedDisc!O8&gt;1),"ml","")</f>
        <v/>
      </c>
      <c r="P15" s="731"/>
      <c r="Q15" s="731" t="str">
        <f>GlobBerMedDisc!AN8</f>
        <v/>
      </c>
      <c r="R15" s="731" t="str">
        <f>IF(AND(N15&lt;&gt;"",GlobBerMedDisc!Q8&gt;0),GlobBerMedDisc!Q8&amp;" min","")</f>
        <v/>
      </c>
      <c r="S15" s="732">
        <f>GlobBerMedDisc!AB8</f>
        <v>0</v>
      </c>
      <c r="T15" s="647"/>
      <c r="U15" s="647"/>
      <c r="V15" s="647"/>
      <c r="W15" s="647"/>
      <c r="X15" s="647"/>
      <c r="Y15" s="647"/>
    </row>
    <row r="16" spans="2:67" ht="20.100000000000001" customHeight="1" thickTop="1" thickBot="1" x14ac:dyDescent="0.25">
      <c r="B16" s="651" t="str">
        <f>GlobBerMedDisc!AL9</f>
        <v/>
      </c>
      <c r="C16" s="651" t="str">
        <f>GlobBerMedDisc!AO9</f>
        <v/>
      </c>
      <c r="D16" s="778">
        <v>8</v>
      </c>
      <c r="E16" s="863" t="str">
        <f>GlobBerMedDisc!AP9</f>
        <v/>
      </c>
      <c r="F16" s="864"/>
      <c r="G16" s="864"/>
      <c r="H16" s="864"/>
      <c r="I16" s="728" t="str">
        <f>GlobBerMedDisc!W9</f>
        <v/>
      </c>
      <c r="J16" s="729" t="str">
        <f>IF(GlobBerMedDisc!C9&gt;1,GlobBerMedDisc!H9,"")</f>
        <v/>
      </c>
      <c r="K16" s="730" t="str">
        <f>IF(GlobBerMedDisc!C9&gt;1,GlobBerMedDisc!F9,"")</f>
        <v/>
      </c>
      <c r="L16" s="731">
        <f>GlobBerMedDisc!L9</f>
        <v>0</v>
      </c>
      <c r="M16" s="731" t="str">
        <f>GlobBerMedDisc!AM9</f>
        <v/>
      </c>
      <c r="N16" s="731" t="str">
        <f>IF(AND(GlobBerMedDisc!C9&gt;1,GlobBerMedDisc!O9&gt;1),GlobBerMedDisc!N9,"")</f>
        <v/>
      </c>
      <c r="O16" s="731" t="str">
        <f>IF(AND(GlobBerMedDisc!C9&gt;1,N16&lt;&gt;0,GlobBerMedDisc!O9&gt;1),"ml","")</f>
        <v/>
      </c>
      <c r="P16" s="731"/>
      <c r="Q16" s="731" t="str">
        <f>GlobBerMedDisc!AN9</f>
        <v/>
      </c>
      <c r="R16" s="731" t="str">
        <f>IF(AND(N16&lt;&gt;"",GlobBerMedDisc!Q9&gt;0),GlobBerMedDisc!Q9&amp;" min","")</f>
        <v/>
      </c>
      <c r="S16" s="732">
        <f>GlobBerMedDisc!AB9</f>
        <v>0</v>
      </c>
      <c r="T16" s="647"/>
      <c r="U16" s="647"/>
      <c r="V16" s="647"/>
      <c r="W16" s="647"/>
      <c r="X16" s="647"/>
      <c r="Y16" s="647"/>
    </row>
    <row r="17" spans="2:25" ht="20.100000000000001" customHeight="1" thickTop="1" thickBot="1" x14ac:dyDescent="0.25">
      <c r="B17" s="651" t="str">
        <f>GlobBerMedDisc!AL10</f>
        <v/>
      </c>
      <c r="C17" s="651" t="str">
        <f>GlobBerMedDisc!AO10</f>
        <v/>
      </c>
      <c r="D17" s="778">
        <v>9</v>
      </c>
      <c r="E17" s="863" t="str">
        <f>GlobBerMedDisc!AP10</f>
        <v/>
      </c>
      <c r="F17" s="864"/>
      <c r="G17" s="864"/>
      <c r="H17" s="864"/>
      <c r="I17" s="728" t="str">
        <f>GlobBerMedDisc!W10</f>
        <v/>
      </c>
      <c r="J17" s="729" t="str">
        <f>IF(GlobBerMedDisc!C10&gt;1,GlobBerMedDisc!H10,"")</f>
        <v/>
      </c>
      <c r="K17" s="730" t="str">
        <f>IF(GlobBerMedDisc!C10&gt;1,GlobBerMedDisc!F10,"")</f>
        <v/>
      </c>
      <c r="L17" s="731">
        <f>GlobBerMedDisc!L10</f>
        <v>0</v>
      </c>
      <c r="M17" s="731" t="str">
        <f>GlobBerMedDisc!AM10</f>
        <v/>
      </c>
      <c r="N17" s="731" t="str">
        <f>IF(AND(GlobBerMedDisc!C10&gt;1,GlobBerMedDisc!O10&gt;1),GlobBerMedDisc!N10,"")</f>
        <v/>
      </c>
      <c r="O17" s="731" t="str">
        <f>IF(AND(GlobBerMedDisc!C10&gt;1,N17&lt;&gt;0,GlobBerMedDisc!O10&gt;1),"ml","")</f>
        <v/>
      </c>
      <c r="P17" s="731"/>
      <c r="Q17" s="731" t="str">
        <f>GlobBerMedDisc!AN10</f>
        <v/>
      </c>
      <c r="R17" s="731" t="str">
        <f>IF(AND(N17&lt;&gt;"",GlobBerMedDisc!Q10&gt;0),GlobBerMedDisc!Q10&amp;" min","")</f>
        <v/>
      </c>
      <c r="S17" s="732">
        <f>GlobBerMedDisc!AB10</f>
        <v>0</v>
      </c>
      <c r="T17" s="647"/>
      <c r="U17" s="647"/>
      <c r="V17" s="647"/>
      <c r="W17" s="647"/>
      <c r="X17" s="647"/>
      <c r="Y17" s="647"/>
    </row>
    <row r="18" spans="2:25" ht="20.100000000000001" customHeight="1" thickTop="1" thickBot="1" x14ac:dyDescent="0.25">
      <c r="B18" s="651" t="str">
        <f>GlobBerMedDisc!AL11</f>
        <v/>
      </c>
      <c r="C18" s="651" t="str">
        <f>GlobBerMedDisc!AO11</f>
        <v/>
      </c>
      <c r="D18" s="778">
        <v>10</v>
      </c>
      <c r="E18" s="863" t="str">
        <f>GlobBerMedDisc!AP11</f>
        <v/>
      </c>
      <c r="F18" s="864"/>
      <c r="G18" s="864"/>
      <c r="H18" s="864"/>
      <c r="I18" s="728" t="str">
        <f>GlobBerMedDisc!W11</f>
        <v/>
      </c>
      <c r="J18" s="729" t="str">
        <f>IF(GlobBerMedDisc!C11&gt;1,GlobBerMedDisc!H11,"")</f>
        <v/>
      </c>
      <c r="K18" s="730" t="str">
        <f>IF(GlobBerMedDisc!C11&gt;1,GlobBerMedDisc!F11,"")</f>
        <v/>
      </c>
      <c r="L18" s="731">
        <f>GlobBerMedDisc!L11</f>
        <v>0</v>
      </c>
      <c r="M18" s="731" t="str">
        <f>GlobBerMedDisc!AM11</f>
        <v/>
      </c>
      <c r="N18" s="731" t="str">
        <f>IF(AND(GlobBerMedDisc!C11&gt;1,GlobBerMedDisc!O11&gt;1),GlobBerMedDisc!N11,"")</f>
        <v/>
      </c>
      <c r="O18" s="731" t="str">
        <f>IF(AND(GlobBerMedDisc!C11&gt;1,N18&lt;&gt;0,GlobBerMedDisc!O11&gt;1),"ml","")</f>
        <v/>
      </c>
      <c r="P18" s="731"/>
      <c r="Q18" s="731" t="str">
        <f>GlobBerMedDisc!AN11</f>
        <v/>
      </c>
      <c r="R18" s="731" t="str">
        <f>IF(AND(N18&lt;&gt;"",GlobBerMedDisc!Q11&gt;0),GlobBerMedDisc!Q11&amp;" min","")</f>
        <v/>
      </c>
      <c r="S18" s="732">
        <f>GlobBerMedDisc!AB11</f>
        <v>0</v>
      </c>
      <c r="T18" s="647"/>
      <c r="U18" s="647"/>
      <c r="V18" s="647"/>
      <c r="W18" s="647"/>
      <c r="X18" s="647"/>
      <c r="Y18" s="647"/>
    </row>
    <row r="19" spans="2:25" ht="20.100000000000001" customHeight="1" thickTop="1" thickBot="1" x14ac:dyDescent="0.25">
      <c r="B19" s="651" t="str">
        <f>GlobBerMedDisc!AL12</f>
        <v/>
      </c>
      <c r="C19" s="651" t="str">
        <f>GlobBerMedDisc!AO12</f>
        <v/>
      </c>
      <c r="D19" s="778">
        <v>11</v>
      </c>
      <c r="E19" s="863" t="str">
        <f>GlobBerMedDisc!AP12</f>
        <v/>
      </c>
      <c r="F19" s="864"/>
      <c r="G19" s="864"/>
      <c r="H19" s="864"/>
      <c r="I19" s="728" t="str">
        <f>GlobBerMedDisc!W12</f>
        <v/>
      </c>
      <c r="J19" s="729" t="str">
        <f>IF(GlobBerMedDisc!C12&gt;1,GlobBerMedDisc!H12,"")</f>
        <v/>
      </c>
      <c r="K19" s="730" t="str">
        <f>IF(GlobBerMedDisc!C12&gt;1,GlobBerMedDisc!F12,"")</f>
        <v/>
      </c>
      <c r="L19" s="731">
        <f>GlobBerMedDisc!L12</f>
        <v>0</v>
      </c>
      <c r="M19" s="731" t="str">
        <f>GlobBerMedDisc!AM12</f>
        <v/>
      </c>
      <c r="N19" s="731" t="str">
        <f>IF(AND(GlobBerMedDisc!C12&gt;1,GlobBerMedDisc!O12&gt;1),GlobBerMedDisc!N12,"")</f>
        <v/>
      </c>
      <c r="O19" s="731" t="str">
        <f>IF(AND(GlobBerMedDisc!C12&gt;1,N19&lt;&gt;0,GlobBerMedDisc!O12&gt;1),"ml","")</f>
        <v/>
      </c>
      <c r="P19" s="731"/>
      <c r="Q19" s="731" t="str">
        <f>GlobBerMedDisc!AN12</f>
        <v/>
      </c>
      <c r="R19" s="731" t="str">
        <f>IF(AND(N19&lt;&gt;"",GlobBerMedDisc!Q12&gt;0),GlobBerMedDisc!Q12&amp;" min","")</f>
        <v/>
      </c>
      <c r="S19" s="732">
        <f>GlobBerMedDisc!AB12</f>
        <v>0</v>
      </c>
      <c r="T19" s="647"/>
      <c r="U19" s="647"/>
      <c r="V19" s="647"/>
      <c r="W19" s="647"/>
      <c r="X19" s="647"/>
      <c r="Y19" s="647"/>
    </row>
    <row r="20" spans="2:25" ht="20.100000000000001" customHeight="1" thickTop="1" thickBot="1" x14ac:dyDescent="0.25">
      <c r="B20" s="651" t="str">
        <f>GlobBerMedDisc!AL13</f>
        <v/>
      </c>
      <c r="C20" s="651" t="str">
        <f>GlobBerMedDisc!AO13</f>
        <v/>
      </c>
      <c r="D20" s="778">
        <v>12</v>
      </c>
      <c r="E20" s="863" t="str">
        <f>GlobBerMedDisc!AP13</f>
        <v/>
      </c>
      <c r="F20" s="864"/>
      <c r="G20" s="864"/>
      <c r="H20" s="864"/>
      <c r="I20" s="728" t="str">
        <f>GlobBerMedDisc!W13</f>
        <v/>
      </c>
      <c r="J20" s="729" t="str">
        <f>IF(GlobBerMedDisc!C13&gt;1,GlobBerMedDisc!H13,"")</f>
        <v/>
      </c>
      <c r="K20" s="730" t="str">
        <f>IF(GlobBerMedDisc!C13&gt;1,GlobBerMedDisc!F13,"")</f>
        <v/>
      </c>
      <c r="L20" s="731">
        <f>GlobBerMedDisc!L13</f>
        <v>0</v>
      </c>
      <c r="M20" s="731" t="str">
        <f>GlobBerMedDisc!AM13</f>
        <v/>
      </c>
      <c r="N20" s="731" t="str">
        <f>IF(AND(GlobBerMedDisc!C13&gt;1,GlobBerMedDisc!O13&gt;1),GlobBerMedDisc!N13,"")</f>
        <v/>
      </c>
      <c r="O20" s="731" t="str">
        <f>IF(AND(GlobBerMedDisc!C13&gt;1,N20&lt;&gt;0,GlobBerMedDisc!O13&gt;1),"ml","")</f>
        <v/>
      </c>
      <c r="P20" s="731"/>
      <c r="Q20" s="731" t="str">
        <f>GlobBerMedDisc!AN13</f>
        <v/>
      </c>
      <c r="R20" s="731" t="str">
        <f>IF(AND(N20&lt;&gt;"",GlobBerMedDisc!Q13&gt;0),GlobBerMedDisc!Q13&amp;" min","")</f>
        <v/>
      </c>
      <c r="S20" s="732">
        <f>GlobBerMedDisc!AB13</f>
        <v>0</v>
      </c>
      <c r="T20" s="647"/>
      <c r="U20" s="647"/>
      <c r="V20" s="647"/>
      <c r="W20" s="647"/>
      <c r="X20" s="647"/>
      <c r="Y20" s="647"/>
    </row>
    <row r="21" spans="2:25" ht="20.100000000000001" customHeight="1" thickTop="1" thickBot="1" x14ac:dyDescent="0.25">
      <c r="B21" s="651" t="str">
        <f>GlobBerMedDisc!AL14</f>
        <v/>
      </c>
      <c r="C21" s="651" t="str">
        <f>GlobBerMedDisc!AO14</f>
        <v/>
      </c>
      <c r="D21" s="778">
        <v>13</v>
      </c>
      <c r="E21" s="863" t="str">
        <f>GlobBerMedDisc!AP14</f>
        <v/>
      </c>
      <c r="F21" s="864"/>
      <c r="G21" s="864"/>
      <c r="H21" s="864"/>
      <c r="I21" s="728" t="str">
        <f>GlobBerMedDisc!W14</f>
        <v/>
      </c>
      <c r="J21" s="729" t="str">
        <f>IF(GlobBerMedDisc!C14&gt;1,GlobBerMedDisc!H14,"")</f>
        <v/>
      </c>
      <c r="K21" s="730" t="str">
        <f>IF(GlobBerMedDisc!C14&gt;1,GlobBerMedDisc!F14,"")</f>
        <v/>
      </c>
      <c r="L21" s="731">
        <f>GlobBerMedDisc!L14</f>
        <v>0</v>
      </c>
      <c r="M21" s="731" t="str">
        <f>GlobBerMedDisc!AM14</f>
        <v/>
      </c>
      <c r="N21" s="731" t="str">
        <f>IF(AND(GlobBerMedDisc!C14&gt;1,GlobBerMedDisc!O14&gt;1),GlobBerMedDisc!N14,"")</f>
        <v/>
      </c>
      <c r="O21" s="731" t="str">
        <f>IF(AND(GlobBerMedDisc!C14&gt;1,N21&lt;&gt;0,GlobBerMedDisc!O14&gt;1),"ml","")</f>
        <v/>
      </c>
      <c r="P21" s="731"/>
      <c r="Q21" s="731" t="str">
        <f>GlobBerMedDisc!AN14</f>
        <v/>
      </c>
      <c r="R21" s="731" t="str">
        <f>IF(AND(N21&lt;&gt;"",GlobBerMedDisc!Q14&gt;0),GlobBerMedDisc!Q14&amp;" min","")</f>
        <v/>
      </c>
      <c r="S21" s="732">
        <f>GlobBerMedDisc!AB14</f>
        <v>0</v>
      </c>
      <c r="T21" s="647"/>
      <c r="U21" s="647"/>
      <c r="V21" s="647"/>
      <c r="W21" s="647"/>
      <c r="X21" s="647"/>
      <c r="Y21" s="647"/>
    </row>
    <row r="22" spans="2:25" ht="20.100000000000001" customHeight="1" thickTop="1" thickBot="1" x14ac:dyDescent="0.25">
      <c r="B22" s="651" t="str">
        <f>GlobBerMedDisc!AL15</f>
        <v/>
      </c>
      <c r="C22" s="651" t="str">
        <f>GlobBerMedDisc!AO15</f>
        <v/>
      </c>
      <c r="D22" s="778">
        <v>14</v>
      </c>
      <c r="E22" s="863" t="str">
        <f>GlobBerMedDisc!AP15</f>
        <v/>
      </c>
      <c r="F22" s="864"/>
      <c r="G22" s="864"/>
      <c r="H22" s="864"/>
      <c r="I22" s="728" t="str">
        <f>GlobBerMedDisc!W15</f>
        <v/>
      </c>
      <c r="J22" s="729" t="str">
        <f>IF(GlobBerMedDisc!C15&gt;1,GlobBerMedDisc!H15,"")</f>
        <v/>
      </c>
      <c r="K22" s="730" t="str">
        <f>IF(GlobBerMedDisc!C15&gt;1,GlobBerMedDisc!F15,"")</f>
        <v/>
      </c>
      <c r="L22" s="731">
        <f>GlobBerMedDisc!L15</f>
        <v>0</v>
      </c>
      <c r="M22" s="731" t="str">
        <f>GlobBerMedDisc!AM15</f>
        <v/>
      </c>
      <c r="N22" s="731" t="str">
        <f>IF(AND(GlobBerMedDisc!C15&gt;1,GlobBerMedDisc!O15&gt;1),GlobBerMedDisc!N15,"")</f>
        <v/>
      </c>
      <c r="O22" s="731" t="str">
        <f>IF(AND(GlobBerMedDisc!C15&gt;1,N22&lt;&gt;0,GlobBerMedDisc!O15&gt;1),"ml","")</f>
        <v/>
      </c>
      <c r="P22" s="731"/>
      <c r="Q22" s="731" t="str">
        <f>GlobBerMedDisc!AN15</f>
        <v/>
      </c>
      <c r="R22" s="731" t="str">
        <f>IF(AND(N22&lt;&gt;"",GlobBerMedDisc!Q15&gt;0),GlobBerMedDisc!Q15&amp;" min","")</f>
        <v/>
      </c>
      <c r="S22" s="732">
        <f>GlobBerMedDisc!AB15</f>
        <v>0</v>
      </c>
      <c r="T22" s="647"/>
      <c r="U22" s="647"/>
      <c r="V22" s="647"/>
      <c r="W22" s="647"/>
      <c r="X22" s="647"/>
      <c r="Y22" s="647"/>
    </row>
    <row r="23" spans="2:25" ht="20.100000000000001" customHeight="1" thickTop="1" thickBot="1" x14ac:dyDescent="0.25">
      <c r="B23" s="651" t="str">
        <f>GlobBerMedDisc!AL16</f>
        <v/>
      </c>
      <c r="C23" s="651" t="str">
        <f>GlobBerMedDisc!AO16</f>
        <v/>
      </c>
      <c r="D23" s="778">
        <v>15</v>
      </c>
      <c r="E23" s="863" t="str">
        <f>GlobBerMedDisc!AP16</f>
        <v/>
      </c>
      <c r="F23" s="864"/>
      <c r="G23" s="864"/>
      <c r="H23" s="864"/>
      <c r="I23" s="728" t="str">
        <f>GlobBerMedDisc!W16</f>
        <v/>
      </c>
      <c r="J23" s="729" t="str">
        <f>IF(GlobBerMedDisc!C16&gt;1,GlobBerMedDisc!H16,"")</f>
        <v/>
      </c>
      <c r="K23" s="730" t="str">
        <f>IF(GlobBerMedDisc!C16&gt;1,GlobBerMedDisc!F16,"")</f>
        <v/>
      </c>
      <c r="L23" s="731">
        <f>GlobBerMedDisc!L16</f>
        <v>0</v>
      </c>
      <c r="M23" s="731" t="str">
        <f>GlobBerMedDisc!AM16</f>
        <v/>
      </c>
      <c r="N23" s="731" t="str">
        <f>IF(AND(GlobBerMedDisc!C16&gt;1,GlobBerMedDisc!O16&gt;1),GlobBerMedDisc!N16,"")</f>
        <v/>
      </c>
      <c r="O23" s="731" t="str">
        <f>IF(AND(GlobBerMedDisc!C16&gt;1,N23&lt;&gt;0,GlobBerMedDisc!O16&gt;1),"ml","")</f>
        <v/>
      </c>
      <c r="P23" s="731"/>
      <c r="Q23" s="731" t="str">
        <f>GlobBerMedDisc!AN16</f>
        <v/>
      </c>
      <c r="R23" s="731" t="str">
        <f>IF(AND(N23&lt;&gt;"",GlobBerMedDisc!Q16&gt;0),GlobBerMedDisc!Q16&amp;" min","")</f>
        <v/>
      </c>
      <c r="S23" s="732">
        <f>GlobBerMedDisc!AB16</f>
        <v>0</v>
      </c>
      <c r="T23" s="647"/>
      <c r="U23" s="647"/>
      <c r="V23" s="647"/>
      <c r="W23" s="647"/>
      <c r="X23" s="647"/>
      <c r="Y23" s="647"/>
    </row>
    <row r="24" spans="2:25" ht="20.100000000000001" customHeight="1" thickTop="1" thickBot="1" x14ac:dyDescent="0.25">
      <c r="B24" s="651" t="str">
        <f>GlobBerMedDisc!AL17</f>
        <v/>
      </c>
      <c r="C24" s="651" t="str">
        <f>GlobBerMedDisc!AO17</f>
        <v/>
      </c>
      <c r="D24" s="778">
        <v>16</v>
      </c>
      <c r="E24" s="863" t="str">
        <f>GlobBerMedDisc!AP17</f>
        <v/>
      </c>
      <c r="F24" s="864"/>
      <c r="G24" s="864"/>
      <c r="H24" s="864"/>
      <c r="I24" s="728" t="str">
        <f>GlobBerMedDisc!W17</f>
        <v/>
      </c>
      <c r="J24" s="729" t="str">
        <f>IF(GlobBerMedDisc!C17&gt;1,GlobBerMedDisc!H17,"")</f>
        <v/>
      </c>
      <c r="K24" s="730" t="str">
        <f>IF(GlobBerMedDisc!C17&gt;1,GlobBerMedDisc!F17,"")</f>
        <v/>
      </c>
      <c r="L24" s="731">
        <f>GlobBerMedDisc!L17</f>
        <v>0</v>
      </c>
      <c r="M24" s="731" t="str">
        <f>GlobBerMedDisc!AM17</f>
        <v/>
      </c>
      <c r="N24" s="731" t="str">
        <f>IF(AND(GlobBerMedDisc!C17&gt;1,GlobBerMedDisc!O17&gt;1),GlobBerMedDisc!N17,"")</f>
        <v/>
      </c>
      <c r="O24" s="731" t="str">
        <f>IF(AND(GlobBerMedDisc!C17&gt;1,N24&lt;&gt;0,GlobBerMedDisc!O17&gt;1),"ml","")</f>
        <v/>
      </c>
      <c r="P24" s="731"/>
      <c r="Q24" s="731" t="str">
        <f>GlobBerMedDisc!AN17</f>
        <v/>
      </c>
      <c r="R24" s="731" t="str">
        <f>IF(AND(N24&lt;&gt;"",GlobBerMedDisc!Q17&gt;0),GlobBerMedDisc!Q17&amp;" min","")</f>
        <v/>
      </c>
      <c r="S24" s="732">
        <f>GlobBerMedDisc!AB17</f>
        <v>0</v>
      </c>
      <c r="T24" s="647"/>
      <c r="U24" s="647"/>
      <c r="V24" s="647"/>
      <c r="W24" s="647"/>
      <c r="X24" s="647"/>
      <c r="Y24" s="647"/>
    </row>
    <row r="25" spans="2:25" ht="20.100000000000001" customHeight="1" thickTop="1" thickBot="1" x14ac:dyDescent="0.25">
      <c r="B25" s="651" t="str">
        <f>GlobBerMedDisc!AL18</f>
        <v/>
      </c>
      <c r="C25" s="651" t="str">
        <f>GlobBerMedDisc!AO18</f>
        <v/>
      </c>
      <c r="D25" s="778">
        <v>17</v>
      </c>
      <c r="E25" s="863" t="str">
        <f>GlobBerMedDisc!AP18</f>
        <v/>
      </c>
      <c r="F25" s="864"/>
      <c r="G25" s="864"/>
      <c r="H25" s="864"/>
      <c r="I25" s="728" t="str">
        <f>GlobBerMedDisc!W18</f>
        <v/>
      </c>
      <c r="J25" s="729" t="str">
        <f>IF(GlobBerMedDisc!C18&gt;1,GlobBerMedDisc!H18,"")</f>
        <v/>
      </c>
      <c r="K25" s="730" t="str">
        <f>IF(GlobBerMedDisc!C18&gt;1,GlobBerMedDisc!F18,"")</f>
        <v/>
      </c>
      <c r="L25" s="731">
        <f>GlobBerMedDisc!L18</f>
        <v>0</v>
      </c>
      <c r="M25" s="731" t="str">
        <f>GlobBerMedDisc!AM18</f>
        <v/>
      </c>
      <c r="N25" s="731" t="str">
        <f>IF(AND(GlobBerMedDisc!C18&gt;1,GlobBerMedDisc!O18&gt;1),GlobBerMedDisc!N18,"")</f>
        <v/>
      </c>
      <c r="O25" s="731" t="str">
        <f>IF(AND(GlobBerMedDisc!C18&gt;1,N25&lt;&gt;0,GlobBerMedDisc!O18&gt;1),"ml","")</f>
        <v/>
      </c>
      <c r="P25" s="731"/>
      <c r="Q25" s="731" t="str">
        <f>GlobBerMedDisc!AN18</f>
        <v/>
      </c>
      <c r="R25" s="731" t="str">
        <f>IF(AND(N25&lt;&gt;"",GlobBerMedDisc!Q18&gt;0),GlobBerMedDisc!Q18&amp;" min","")</f>
        <v/>
      </c>
      <c r="S25" s="732">
        <f>GlobBerMedDisc!AB18</f>
        <v>0</v>
      </c>
      <c r="T25" s="647"/>
      <c r="U25" s="647"/>
      <c r="V25" s="647"/>
      <c r="W25" s="647"/>
      <c r="X25" s="647"/>
      <c r="Y25" s="647"/>
    </row>
    <row r="26" spans="2:25" ht="20.100000000000001" customHeight="1" thickTop="1" thickBot="1" x14ac:dyDescent="0.25">
      <c r="B26" s="651" t="str">
        <f>GlobBerMedDisc!AL19</f>
        <v/>
      </c>
      <c r="C26" s="651" t="str">
        <f>GlobBerMedDisc!AO19</f>
        <v/>
      </c>
      <c r="D26" s="778">
        <v>18</v>
      </c>
      <c r="E26" s="863" t="str">
        <f>GlobBerMedDisc!AP19</f>
        <v/>
      </c>
      <c r="F26" s="864"/>
      <c r="G26" s="864"/>
      <c r="H26" s="864"/>
      <c r="I26" s="728" t="str">
        <f>GlobBerMedDisc!W19</f>
        <v/>
      </c>
      <c r="J26" s="729" t="str">
        <f>IF(GlobBerMedDisc!C19&gt;1,GlobBerMedDisc!H19,"")</f>
        <v/>
      </c>
      <c r="K26" s="730" t="str">
        <f>IF(GlobBerMedDisc!C19&gt;1,GlobBerMedDisc!F19,"")</f>
        <v/>
      </c>
      <c r="L26" s="731">
        <f>GlobBerMedDisc!L19</f>
        <v>0</v>
      </c>
      <c r="M26" s="731" t="str">
        <f>GlobBerMedDisc!AM19</f>
        <v/>
      </c>
      <c r="N26" s="731" t="str">
        <f>IF(AND(GlobBerMedDisc!C19&gt;1,GlobBerMedDisc!O19&gt;1),GlobBerMedDisc!N19,"")</f>
        <v/>
      </c>
      <c r="O26" s="731" t="str">
        <f>IF(AND(GlobBerMedDisc!C19&gt;1,N26&lt;&gt;0,GlobBerMedDisc!O19&gt;1),"ml","")</f>
        <v/>
      </c>
      <c r="P26" s="731"/>
      <c r="Q26" s="731" t="str">
        <f>GlobBerMedDisc!AN19</f>
        <v/>
      </c>
      <c r="R26" s="731" t="str">
        <f>IF(AND(N26&lt;&gt;"",GlobBerMedDisc!Q19&gt;0),GlobBerMedDisc!Q19&amp;" min","")</f>
        <v/>
      </c>
      <c r="S26" s="732">
        <f>GlobBerMedDisc!AB19</f>
        <v>0</v>
      </c>
      <c r="T26" s="647"/>
      <c r="U26" s="647"/>
      <c r="V26" s="647"/>
      <c r="W26" s="647"/>
      <c r="X26" s="647"/>
      <c r="Y26" s="647"/>
    </row>
    <row r="27" spans="2:25" ht="20.100000000000001" customHeight="1" thickTop="1" thickBot="1" x14ac:dyDescent="0.25">
      <c r="B27" s="651" t="str">
        <f>GlobBerMedDisc!AL20</f>
        <v/>
      </c>
      <c r="C27" s="651" t="str">
        <f>GlobBerMedDisc!AO20</f>
        <v/>
      </c>
      <c r="D27" s="778">
        <v>19</v>
      </c>
      <c r="E27" s="863" t="str">
        <f>GlobBerMedDisc!AP20</f>
        <v/>
      </c>
      <c r="F27" s="864"/>
      <c r="G27" s="864"/>
      <c r="H27" s="864"/>
      <c r="I27" s="728" t="str">
        <f>GlobBerMedDisc!W20</f>
        <v/>
      </c>
      <c r="J27" s="729" t="str">
        <f>IF(GlobBerMedDisc!C20&gt;1,GlobBerMedDisc!H20,"")</f>
        <v/>
      </c>
      <c r="K27" s="730" t="str">
        <f>IF(GlobBerMedDisc!C20&gt;1,GlobBerMedDisc!F20,"")</f>
        <v/>
      </c>
      <c r="L27" s="731">
        <f>GlobBerMedDisc!L20</f>
        <v>0</v>
      </c>
      <c r="M27" s="731" t="str">
        <f>GlobBerMedDisc!AM20</f>
        <v/>
      </c>
      <c r="N27" s="731" t="str">
        <f>IF(AND(GlobBerMedDisc!C20&gt;1,GlobBerMedDisc!O20&gt;1),GlobBerMedDisc!N20,"")</f>
        <v/>
      </c>
      <c r="O27" s="731" t="str">
        <f>IF(AND(GlobBerMedDisc!C20&gt;1,N27&lt;&gt;0,GlobBerMedDisc!O20&gt;1),"ml","")</f>
        <v/>
      </c>
      <c r="P27" s="731"/>
      <c r="Q27" s="731" t="str">
        <f>GlobBerMedDisc!AN20</f>
        <v/>
      </c>
      <c r="R27" s="731" t="str">
        <f>IF(AND(N27&lt;&gt;"",GlobBerMedDisc!Q20&gt;0),GlobBerMedDisc!Q20&amp;" min","")</f>
        <v/>
      </c>
      <c r="S27" s="732">
        <f>GlobBerMedDisc!AB20</f>
        <v>0</v>
      </c>
      <c r="T27" s="647"/>
      <c r="U27" s="647"/>
      <c r="V27" s="647"/>
      <c r="W27" s="647"/>
      <c r="X27" s="647"/>
      <c r="Y27" s="647"/>
    </row>
    <row r="28" spans="2:25" ht="20.100000000000001" customHeight="1" thickTop="1" thickBot="1" x14ac:dyDescent="0.25">
      <c r="B28" s="651" t="str">
        <f>GlobBerMedDisc!AL21</f>
        <v/>
      </c>
      <c r="C28" s="651" t="str">
        <f>GlobBerMedDisc!AO21</f>
        <v/>
      </c>
      <c r="D28" s="778">
        <v>20</v>
      </c>
      <c r="E28" s="863" t="str">
        <f>GlobBerMedDisc!AP21</f>
        <v/>
      </c>
      <c r="F28" s="864"/>
      <c r="G28" s="864"/>
      <c r="H28" s="864"/>
      <c r="I28" s="728" t="str">
        <f>GlobBerMedDisc!W21</f>
        <v/>
      </c>
      <c r="J28" s="729" t="str">
        <f>IF(GlobBerMedDisc!C21&gt;1,GlobBerMedDisc!H21,"")</f>
        <v/>
      </c>
      <c r="K28" s="730" t="str">
        <f>IF(GlobBerMedDisc!C21&gt;1,GlobBerMedDisc!F21,"")</f>
        <v/>
      </c>
      <c r="L28" s="731">
        <f>GlobBerMedDisc!L21</f>
        <v>0</v>
      </c>
      <c r="M28" s="731" t="str">
        <f>GlobBerMedDisc!AM21</f>
        <v/>
      </c>
      <c r="N28" s="731" t="str">
        <f>IF(AND(GlobBerMedDisc!C21&gt;1,GlobBerMedDisc!O21&gt;1),GlobBerMedDisc!N21,"")</f>
        <v/>
      </c>
      <c r="O28" s="731" t="str">
        <f>IF(AND(GlobBerMedDisc!C21&gt;1,N28&lt;&gt;0,GlobBerMedDisc!O21&gt;1),"ml","")</f>
        <v/>
      </c>
      <c r="P28" s="731"/>
      <c r="Q28" s="731" t="str">
        <f>GlobBerMedDisc!AN21</f>
        <v/>
      </c>
      <c r="R28" s="731" t="str">
        <f>IF(AND(N28&lt;&gt;"",GlobBerMedDisc!Q21&gt;0),GlobBerMedDisc!Q21&amp;" min","")</f>
        <v/>
      </c>
      <c r="S28" s="732">
        <f>GlobBerMedDisc!AB21</f>
        <v>0</v>
      </c>
      <c r="T28" s="647"/>
      <c r="U28" s="647"/>
      <c r="V28" s="647"/>
      <c r="W28" s="647"/>
      <c r="X28" s="647"/>
      <c r="Y28" s="647"/>
    </row>
    <row r="29" spans="2:25" ht="20.100000000000001" customHeight="1" thickTop="1" thickBot="1" x14ac:dyDescent="0.25">
      <c r="B29" s="651" t="str">
        <f>GlobBerMedDisc!AL22</f>
        <v/>
      </c>
      <c r="C29" s="651" t="str">
        <f>GlobBerMedDisc!AO22</f>
        <v/>
      </c>
      <c r="D29" s="778">
        <v>21</v>
      </c>
      <c r="E29" s="863" t="str">
        <f>GlobBerMedDisc!AP22</f>
        <v/>
      </c>
      <c r="F29" s="864"/>
      <c r="G29" s="864"/>
      <c r="H29" s="864"/>
      <c r="I29" s="728" t="str">
        <f>GlobBerMedDisc!W22</f>
        <v/>
      </c>
      <c r="J29" s="729" t="str">
        <f>IF(GlobBerMedDisc!C22&gt;1,GlobBerMedDisc!H22,"")</f>
        <v/>
      </c>
      <c r="K29" s="730" t="str">
        <f>IF(GlobBerMedDisc!C22&gt;1,GlobBerMedDisc!F22,"")</f>
        <v/>
      </c>
      <c r="L29" s="731">
        <f>GlobBerMedDisc!L22</f>
        <v>0</v>
      </c>
      <c r="M29" s="731" t="str">
        <f>GlobBerMedDisc!AM22</f>
        <v/>
      </c>
      <c r="N29" s="731" t="str">
        <f>IF(AND(GlobBerMedDisc!C22&gt;1,GlobBerMedDisc!O22&gt;1),GlobBerMedDisc!N22,"")</f>
        <v/>
      </c>
      <c r="O29" s="731" t="str">
        <f>IF(AND(GlobBerMedDisc!C22&gt;1,N29&lt;&gt;0,GlobBerMedDisc!O22&gt;1),"ml","")</f>
        <v/>
      </c>
      <c r="P29" s="731"/>
      <c r="Q29" s="731" t="str">
        <f>GlobBerMedDisc!AN22</f>
        <v/>
      </c>
      <c r="R29" s="731" t="str">
        <f>IF(AND(N29&lt;&gt;"",GlobBerMedDisc!Q22&gt;0),GlobBerMedDisc!Q22&amp;" min","")</f>
        <v/>
      </c>
      <c r="S29" s="732">
        <f>GlobBerMedDisc!AB22</f>
        <v>0</v>
      </c>
      <c r="T29" s="647"/>
      <c r="U29" s="647"/>
      <c r="V29" s="647"/>
      <c r="W29" s="647"/>
      <c r="X29" s="647"/>
      <c r="Y29" s="647"/>
    </row>
    <row r="30" spans="2:25" ht="20.100000000000001" customHeight="1" thickTop="1" thickBot="1" x14ac:dyDescent="0.25">
      <c r="B30" s="651" t="str">
        <f>GlobBerMedDisc!AL23</f>
        <v/>
      </c>
      <c r="C30" s="651" t="str">
        <f>GlobBerMedDisc!AO23</f>
        <v/>
      </c>
      <c r="D30" s="778">
        <v>22</v>
      </c>
      <c r="E30" s="863" t="str">
        <f>GlobBerMedDisc!AP23</f>
        <v/>
      </c>
      <c r="F30" s="864"/>
      <c r="G30" s="864"/>
      <c r="H30" s="864"/>
      <c r="I30" s="728" t="str">
        <f>GlobBerMedDisc!W23</f>
        <v/>
      </c>
      <c r="J30" s="729" t="str">
        <f>IF(GlobBerMedDisc!C23&gt;1,GlobBerMedDisc!H23,"")</f>
        <v/>
      </c>
      <c r="K30" s="730" t="str">
        <f>IF(GlobBerMedDisc!C23&gt;1,GlobBerMedDisc!F23,"")</f>
        <v/>
      </c>
      <c r="L30" s="731">
        <f>GlobBerMedDisc!L23</f>
        <v>0</v>
      </c>
      <c r="M30" s="731" t="str">
        <f>GlobBerMedDisc!AM23</f>
        <v/>
      </c>
      <c r="N30" s="731" t="str">
        <f>IF(AND(GlobBerMedDisc!C23&gt;1,GlobBerMedDisc!O23&gt;1),GlobBerMedDisc!N23,"")</f>
        <v/>
      </c>
      <c r="O30" s="731" t="str">
        <f>IF(AND(GlobBerMedDisc!C23&gt;1,N30&lt;&gt;0,GlobBerMedDisc!O23&gt;1),"ml","")</f>
        <v/>
      </c>
      <c r="P30" s="731"/>
      <c r="Q30" s="731" t="str">
        <f>GlobBerMedDisc!AN23</f>
        <v/>
      </c>
      <c r="R30" s="731" t="str">
        <f>IF(AND(N30&lt;&gt;"",GlobBerMedDisc!Q23&gt;0),GlobBerMedDisc!Q23&amp;" min","")</f>
        <v/>
      </c>
      <c r="S30" s="732">
        <f>GlobBerMedDisc!AB23</f>
        <v>0</v>
      </c>
      <c r="T30" s="647"/>
      <c r="U30" s="647"/>
      <c r="V30" s="647"/>
      <c r="W30" s="647"/>
      <c r="X30" s="647"/>
      <c r="Y30" s="647"/>
    </row>
    <row r="31" spans="2:25" ht="20.100000000000001" customHeight="1" thickTop="1" thickBot="1" x14ac:dyDescent="0.25">
      <c r="B31" s="651" t="str">
        <f>GlobBerMedDisc!AL24</f>
        <v/>
      </c>
      <c r="C31" s="651" t="str">
        <f>GlobBerMedDisc!AO24</f>
        <v/>
      </c>
      <c r="D31" s="778">
        <v>23</v>
      </c>
      <c r="E31" s="863" t="str">
        <f>GlobBerMedDisc!AP24</f>
        <v/>
      </c>
      <c r="F31" s="864"/>
      <c r="G31" s="864"/>
      <c r="H31" s="864"/>
      <c r="I31" s="728" t="str">
        <f>GlobBerMedDisc!W24</f>
        <v/>
      </c>
      <c r="J31" s="729" t="str">
        <f>IF(GlobBerMedDisc!C24&gt;1,GlobBerMedDisc!H24,"")</f>
        <v/>
      </c>
      <c r="K31" s="730" t="str">
        <f>IF(GlobBerMedDisc!C24&gt;1,GlobBerMedDisc!F24,"")</f>
        <v/>
      </c>
      <c r="L31" s="731">
        <f>GlobBerMedDisc!L24</f>
        <v>0</v>
      </c>
      <c r="M31" s="731" t="str">
        <f>GlobBerMedDisc!AM24</f>
        <v/>
      </c>
      <c r="N31" s="731" t="str">
        <f>IF(AND(GlobBerMedDisc!C24&gt;1,GlobBerMedDisc!O24&gt;1),GlobBerMedDisc!N24,"")</f>
        <v/>
      </c>
      <c r="O31" s="731" t="str">
        <f>IF(AND(GlobBerMedDisc!C24&gt;1,N31&lt;&gt;0,GlobBerMedDisc!O24&gt;1),"ml","")</f>
        <v/>
      </c>
      <c r="P31" s="731"/>
      <c r="Q31" s="731" t="str">
        <f>GlobBerMedDisc!AN24</f>
        <v/>
      </c>
      <c r="R31" s="731" t="str">
        <f>IF(AND(N31&lt;&gt;"",GlobBerMedDisc!Q24&gt;0),GlobBerMedDisc!Q24&amp;" min","")</f>
        <v/>
      </c>
      <c r="S31" s="732">
        <f>GlobBerMedDisc!AB24</f>
        <v>0</v>
      </c>
      <c r="T31" s="647"/>
      <c r="U31" s="647"/>
      <c r="V31" s="647"/>
      <c r="W31" s="647"/>
      <c r="X31" s="647"/>
      <c r="Y31" s="647"/>
    </row>
    <row r="32" spans="2:25" ht="20.100000000000001" customHeight="1" thickTop="1" thickBot="1" x14ac:dyDescent="0.25">
      <c r="B32" s="651" t="str">
        <f>GlobBerMedDisc!AL25</f>
        <v/>
      </c>
      <c r="C32" s="651" t="str">
        <f>GlobBerMedDisc!AO25</f>
        <v/>
      </c>
      <c r="D32" s="778">
        <v>24</v>
      </c>
      <c r="E32" s="863" t="str">
        <f>GlobBerMedDisc!AP25</f>
        <v/>
      </c>
      <c r="F32" s="864"/>
      <c r="G32" s="864"/>
      <c r="H32" s="864"/>
      <c r="I32" s="728" t="str">
        <f>GlobBerMedDisc!W25</f>
        <v/>
      </c>
      <c r="J32" s="729" t="str">
        <f>IF(GlobBerMedDisc!C25&gt;1,GlobBerMedDisc!H25,"")</f>
        <v/>
      </c>
      <c r="K32" s="730" t="str">
        <f>IF(GlobBerMedDisc!C25&gt;1,GlobBerMedDisc!F25,"")</f>
        <v/>
      </c>
      <c r="L32" s="731">
        <f>GlobBerMedDisc!L25</f>
        <v>0</v>
      </c>
      <c r="M32" s="731" t="str">
        <f>GlobBerMedDisc!AM25</f>
        <v/>
      </c>
      <c r="N32" s="731" t="str">
        <f>IF(AND(GlobBerMedDisc!C25&gt;1,GlobBerMedDisc!O25&gt;1),GlobBerMedDisc!N25,"")</f>
        <v/>
      </c>
      <c r="O32" s="731" t="str">
        <f>IF(AND(GlobBerMedDisc!C25&gt;1,N32&lt;&gt;0,GlobBerMedDisc!O25&gt;1),"ml","")</f>
        <v/>
      </c>
      <c r="P32" s="731"/>
      <c r="Q32" s="731" t="str">
        <f>GlobBerMedDisc!AN25</f>
        <v/>
      </c>
      <c r="R32" s="731" t="str">
        <f>IF(AND(N32&lt;&gt;"",GlobBerMedDisc!Q25&gt;0),GlobBerMedDisc!Q25&amp;" min","")</f>
        <v/>
      </c>
      <c r="S32" s="732">
        <f>GlobBerMedDisc!AB25</f>
        <v>0</v>
      </c>
      <c r="T32" s="647"/>
      <c r="U32" s="647"/>
      <c r="V32" s="647"/>
      <c r="W32" s="647"/>
      <c r="X32" s="647"/>
      <c r="Y32" s="647"/>
    </row>
    <row r="33" spans="2:25" ht="20.100000000000001" customHeight="1" thickTop="1" thickBot="1" x14ac:dyDescent="0.25">
      <c r="B33" s="651" t="str">
        <f>GlobBerMedDisc!AL26</f>
        <v/>
      </c>
      <c r="C33" s="651" t="str">
        <f>GlobBerMedDisc!AO26</f>
        <v/>
      </c>
      <c r="D33" s="778">
        <v>25</v>
      </c>
      <c r="E33" s="863" t="str">
        <f>GlobBerMedDisc!AP26</f>
        <v/>
      </c>
      <c r="F33" s="864"/>
      <c r="G33" s="864"/>
      <c r="H33" s="864"/>
      <c r="I33" s="728" t="str">
        <f>GlobBerMedDisc!W26</f>
        <v/>
      </c>
      <c r="J33" s="729" t="str">
        <f>IF(GlobBerMedDisc!C26&gt;1,GlobBerMedDisc!H26,"")</f>
        <v/>
      </c>
      <c r="K33" s="730" t="str">
        <f>IF(GlobBerMedDisc!C26&gt;1,GlobBerMedDisc!F26,"")</f>
        <v/>
      </c>
      <c r="L33" s="731">
        <f>GlobBerMedDisc!L26</f>
        <v>0</v>
      </c>
      <c r="M33" s="731" t="str">
        <f>GlobBerMedDisc!AM26</f>
        <v/>
      </c>
      <c r="N33" s="731" t="str">
        <f>IF(AND(GlobBerMedDisc!C26&gt;1,GlobBerMedDisc!O26&gt;1),GlobBerMedDisc!N26,"")</f>
        <v/>
      </c>
      <c r="O33" s="731" t="str">
        <f>IF(AND(GlobBerMedDisc!C26&gt;1,N33&lt;&gt;0,GlobBerMedDisc!O26&gt;1),"ml","")</f>
        <v/>
      </c>
      <c r="P33" s="731"/>
      <c r="Q33" s="731" t="str">
        <f>GlobBerMedDisc!AN26</f>
        <v/>
      </c>
      <c r="R33" s="731" t="str">
        <f>IF(AND(N33&lt;&gt;"",GlobBerMedDisc!Q26&gt;0),GlobBerMedDisc!Q26&amp;" min","")</f>
        <v/>
      </c>
      <c r="S33" s="732">
        <f>GlobBerMedDisc!AB26</f>
        <v>0</v>
      </c>
      <c r="T33" s="647"/>
      <c r="U33" s="647"/>
      <c r="V33" s="647"/>
      <c r="W33" s="647"/>
      <c r="X33" s="647"/>
      <c r="Y33" s="647"/>
    </row>
    <row r="34" spans="2:25" ht="20.100000000000001" customHeight="1" thickTop="1" thickBot="1" x14ac:dyDescent="0.25">
      <c r="B34" s="651" t="str">
        <f>GlobBerMedDisc!AL27</f>
        <v/>
      </c>
      <c r="C34" s="651" t="str">
        <f>GlobBerMedDisc!AO27</f>
        <v/>
      </c>
      <c r="D34" s="778">
        <v>26</v>
      </c>
      <c r="E34" s="863" t="str">
        <f>GlobBerMedDisc!AP27</f>
        <v/>
      </c>
      <c r="F34" s="864"/>
      <c r="G34" s="864"/>
      <c r="H34" s="864"/>
      <c r="I34" s="728" t="str">
        <f>GlobBerMedDisc!W27</f>
        <v/>
      </c>
      <c r="J34" s="729" t="str">
        <f>IF(GlobBerMedDisc!C27&gt;1,GlobBerMedDisc!H27,"")</f>
        <v/>
      </c>
      <c r="K34" s="730" t="str">
        <f>IF(GlobBerMedDisc!C27&gt;1,GlobBerMedDisc!F27,"")</f>
        <v/>
      </c>
      <c r="L34" s="731">
        <f>GlobBerMedDisc!L27</f>
        <v>0</v>
      </c>
      <c r="M34" s="731" t="str">
        <f>GlobBerMedDisc!AM27</f>
        <v/>
      </c>
      <c r="N34" s="731" t="str">
        <f>IF(AND(GlobBerMedDisc!C27&gt;1,GlobBerMedDisc!O27&gt;1),GlobBerMedDisc!N27,"")</f>
        <v/>
      </c>
      <c r="O34" s="731" t="str">
        <f>IF(AND(GlobBerMedDisc!C27&gt;1,N34&lt;&gt;0,GlobBerMedDisc!O27&gt;1),"ml","")</f>
        <v/>
      </c>
      <c r="P34" s="731"/>
      <c r="Q34" s="731" t="str">
        <f>GlobBerMedDisc!AN27</f>
        <v/>
      </c>
      <c r="R34" s="731" t="str">
        <f>IF(AND(N34&lt;&gt;"",GlobBerMedDisc!Q27&gt;0),GlobBerMedDisc!Q27&amp;" min","")</f>
        <v/>
      </c>
      <c r="S34" s="732">
        <f>GlobBerMedDisc!AB27</f>
        <v>0</v>
      </c>
      <c r="T34" s="647"/>
      <c r="U34" s="647"/>
      <c r="V34" s="647"/>
      <c r="W34" s="647"/>
      <c r="X34" s="647"/>
      <c r="Y34" s="647"/>
    </row>
    <row r="35" spans="2:25" ht="20.100000000000001" customHeight="1" thickTop="1" thickBot="1" x14ac:dyDescent="0.25">
      <c r="B35" s="651" t="str">
        <f>GlobBerMedDisc!AL28</f>
        <v/>
      </c>
      <c r="C35" s="651" t="str">
        <f>GlobBerMedDisc!AO28</f>
        <v/>
      </c>
      <c r="D35" s="778">
        <v>27</v>
      </c>
      <c r="E35" s="863" t="str">
        <f>GlobBerMedDisc!AP28</f>
        <v/>
      </c>
      <c r="F35" s="864"/>
      <c r="G35" s="864"/>
      <c r="H35" s="864"/>
      <c r="I35" s="728" t="str">
        <f>GlobBerMedDisc!W28</f>
        <v/>
      </c>
      <c r="J35" s="729" t="str">
        <f>IF(GlobBerMedDisc!C28&gt;1,GlobBerMedDisc!H28,"")</f>
        <v/>
      </c>
      <c r="K35" s="730" t="str">
        <f>IF(GlobBerMedDisc!C28&gt;1,GlobBerMedDisc!F28,"")</f>
        <v/>
      </c>
      <c r="L35" s="731">
        <f>GlobBerMedDisc!L28</f>
        <v>0</v>
      </c>
      <c r="M35" s="731" t="str">
        <f>GlobBerMedDisc!AM28</f>
        <v/>
      </c>
      <c r="N35" s="731" t="str">
        <f>IF(AND(GlobBerMedDisc!C28&gt;1,GlobBerMedDisc!O28&gt;1),GlobBerMedDisc!N28,"")</f>
        <v/>
      </c>
      <c r="O35" s="731" t="str">
        <f>IF(AND(GlobBerMedDisc!C28&gt;1,N35&lt;&gt;0,GlobBerMedDisc!O28&gt;1),"ml","")</f>
        <v/>
      </c>
      <c r="P35" s="731"/>
      <c r="Q35" s="731" t="str">
        <f>GlobBerMedDisc!AN28</f>
        <v/>
      </c>
      <c r="R35" s="731" t="str">
        <f>IF(AND(N35&lt;&gt;"",GlobBerMedDisc!Q28&gt;0),GlobBerMedDisc!Q28&amp;" min","")</f>
        <v/>
      </c>
      <c r="S35" s="732">
        <f>GlobBerMedDisc!AB28</f>
        <v>0</v>
      </c>
      <c r="T35" s="647"/>
      <c r="U35" s="647"/>
      <c r="V35" s="647"/>
      <c r="W35" s="647"/>
      <c r="X35" s="647"/>
      <c r="Y35" s="647"/>
    </row>
    <row r="36" spans="2:25" ht="20.100000000000001" customHeight="1" thickTop="1" thickBot="1" x14ac:dyDescent="0.25">
      <c r="B36" s="651" t="str">
        <f>GlobBerMedDisc!AL29</f>
        <v/>
      </c>
      <c r="C36" s="651" t="str">
        <f>GlobBerMedDisc!AO29</f>
        <v/>
      </c>
      <c r="D36" s="778">
        <v>28</v>
      </c>
      <c r="E36" s="863" t="str">
        <f>GlobBerMedDisc!AP29</f>
        <v/>
      </c>
      <c r="F36" s="864"/>
      <c r="G36" s="864"/>
      <c r="H36" s="864"/>
      <c r="I36" s="728" t="str">
        <f>GlobBerMedDisc!W29</f>
        <v/>
      </c>
      <c r="J36" s="729" t="str">
        <f>IF(GlobBerMedDisc!C29&gt;1,GlobBerMedDisc!H29,"")</f>
        <v/>
      </c>
      <c r="K36" s="730" t="str">
        <f>IF(GlobBerMedDisc!C29&gt;1,GlobBerMedDisc!F29,"")</f>
        <v/>
      </c>
      <c r="L36" s="731">
        <f>GlobBerMedDisc!L29</f>
        <v>0</v>
      </c>
      <c r="M36" s="731" t="str">
        <f>GlobBerMedDisc!AM29</f>
        <v/>
      </c>
      <c r="N36" s="731" t="str">
        <f>IF(AND(GlobBerMedDisc!C29&gt;1,GlobBerMedDisc!O29&gt;1),GlobBerMedDisc!N29,"")</f>
        <v/>
      </c>
      <c r="O36" s="731" t="str">
        <f>IF(AND(GlobBerMedDisc!C29&gt;1,N36&lt;&gt;0,GlobBerMedDisc!O29&gt;1),"ml","")</f>
        <v/>
      </c>
      <c r="P36" s="731"/>
      <c r="Q36" s="731" t="str">
        <f>GlobBerMedDisc!AN29</f>
        <v/>
      </c>
      <c r="R36" s="731" t="str">
        <f>IF(AND(N36&lt;&gt;"",GlobBerMedDisc!Q29&gt;0),GlobBerMedDisc!Q29&amp;" min","")</f>
        <v/>
      </c>
      <c r="S36" s="732">
        <f>GlobBerMedDisc!AB29</f>
        <v>0</v>
      </c>
      <c r="T36" s="647"/>
      <c r="U36" s="647"/>
      <c r="V36" s="647"/>
      <c r="W36" s="647"/>
      <c r="X36" s="647"/>
      <c r="Y36" s="647"/>
    </row>
    <row r="37" spans="2:25" ht="20.100000000000001" customHeight="1" thickTop="1" thickBot="1" x14ac:dyDescent="0.25">
      <c r="B37" s="651" t="str">
        <f>GlobBerMedDisc!AL30</f>
        <v/>
      </c>
      <c r="C37" s="651" t="str">
        <f>GlobBerMedDisc!AO30</f>
        <v/>
      </c>
      <c r="D37" s="778">
        <v>29</v>
      </c>
      <c r="E37" s="863" t="str">
        <f>GlobBerMedDisc!AP30</f>
        <v/>
      </c>
      <c r="F37" s="864"/>
      <c r="G37" s="864"/>
      <c r="H37" s="864"/>
      <c r="I37" s="728" t="str">
        <f>GlobBerMedDisc!W30</f>
        <v/>
      </c>
      <c r="J37" s="729" t="str">
        <f>IF(GlobBerMedDisc!C30&gt;1,GlobBerMedDisc!H30,"")</f>
        <v/>
      </c>
      <c r="K37" s="730" t="str">
        <f>IF(GlobBerMedDisc!C30&gt;1,GlobBerMedDisc!F30,"")</f>
        <v/>
      </c>
      <c r="L37" s="731">
        <f>GlobBerMedDisc!L30</f>
        <v>0</v>
      </c>
      <c r="M37" s="731" t="str">
        <f>GlobBerMedDisc!AM30</f>
        <v/>
      </c>
      <c r="N37" s="731" t="str">
        <f>IF(AND(GlobBerMedDisc!C30&gt;1,GlobBerMedDisc!O30&gt;1),GlobBerMedDisc!N30,"")</f>
        <v/>
      </c>
      <c r="O37" s="731" t="str">
        <f>IF(AND(GlobBerMedDisc!C30&gt;1,N37&lt;&gt;0,GlobBerMedDisc!O30&gt;1),"ml","")</f>
        <v/>
      </c>
      <c r="P37" s="731"/>
      <c r="Q37" s="731" t="str">
        <f>GlobBerMedDisc!AN30</f>
        <v/>
      </c>
      <c r="R37" s="731" t="str">
        <f>IF(AND(N37&lt;&gt;"",GlobBerMedDisc!Q30&gt;0),GlobBerMedDisc!Q30&amp;" min","")</f>
        <v/>
      </c>
      <c r="S37" s="732">
        <f>GlobBerMedDisc!AB30</f>
        <v>0</v>
      </c>
      <c r="T37" s="647"/>
      <c r="U37" s="647"/>
      <c r="V37" s="647"/>
      <c r="W37" s="647"/>
      <c r="X37" s="647"/>
      <c r="Y37" s="647"/>
    </row>
    <row r="38" spans="2:25" ht="20.100000000000001" customHeight="1" thickTop="1" thickBot="1" x14ac:dyDescent="0.25">
      <c r="B38" s="651" t="str">
        <f>GlobBerMedDisc!AL31</f>
        <v/>
      </c>
      <c r="C38" s="651" t="str">
        <f>GlobBerMedDisc!AO31</f>
        <v/>
      </c>
      <c r="D38" s="778">
        <v>30</v>
      </c>
      <c r="E38" s="867" t="str">
        <f>GlobBerMedDisc!AP31</f>
        <v/>
      </c>
      <c r="F38" s="868"/>
      <c r="G38" s="868"/>
      <c r="H38" s="868"/>
      <c r="I38" s="733" t="str">
        <f>GlobBerMedDisc!W31</f>
        <v/>
      </c>
      <c r="J38" s="734" t="str">
        <f>IF(GlobBerMedDisc!C31&gt;1,GlobBerMedDisc!H31,"")</f>
        <v/>
      </c>
      <c r="K38" s="735" t="str">
        <f>IF(GlobBerMedDisc!C31&gt;1,GlobBerMedDisc!F31,"")</f>
        <v/>
      </c>
      <c r="L38" s="736">
        <f>GlobBerMedDisc!L31</f>
        <v>0</v>
      </c>
      <c r="M38" s="736" t="str">
        <f>GlobBerMedDisc!AM31</f>
        <v/>
      </c>
      <c r="N38" s="736" t="str">
        <f>IF(AND(GlobBerMedDisc!C31&gt;1,GlobBerMedDisc!O31&gt;1),GlobBerMedDisc!N31,"")</f>
        <v/>
      </c>
      <c r="O38" s="736" t="str">
        <f>IF(AND(GlobBerMedDisc!C31&gt;1,N38&lt;&gt;0,GlobBerMedDisc!O31&gt;1),"ml","")</f>
        <v/>
      </c>
      <c r="P38" s="736"/>
      <c r="Q38" s="736" t="str">
        <f>GlobBerMedDisc!AN31</f>
        <v/>
      </c>
      <c r="R38" s="736" t="str">
        <f>IF(AND(N38&lt;&gt;"",GlobBerMedDisc!Q31&gt;0),GlobBerMedDisc!Q31&amp;" min","")</f>
        <v/>
      </c>
      <c r="S38" s="737">
        <f>GlobBerMedDisc!AB31</f>
        <v>0</v>
      </c>
      <c r="T38" s="647"/>
      <c r="U38" s="647"/>
      <c r="V38" s="647"/>
      <c r="W38" s="647"/>
      <c r="X38" s="647"/>
      <c r="Y38" s="647"/>
    </row>
    <row r="39" spans="2:25" ht="13.5" thickTop="1" x14ac:dyDescent="0.2">
      <c r="B39" s="654"/>
      <c r="C39" s="654"/>
      <c r="D39" s="654"/>
      <c r="E39" s="654"/>
      <c r="F39" s="654"/>
      <c r="G39" s="654"/>
      <c r="H39" s="654"/>
      <c r="I39" s="654"/>
      <c r="J39" s="654"/>
      <c r="K39" s="654"/>
      <c r="L39" s="654"/>
      <c r="M39" s="654"/>
      <c r="N39" s="654"/>
      <c r="O39" s="654"/>
      <c r="P39" s="654"/>
      <c r="Q39" s="654"/>
    </row>
    <row r="40" spans="2:25" x14ac:dyDescent="0.2">
      <c r="B40" s="654"/>
      <c r="C40" s="654"/>
      <c r="D40" s="654"/>
      <c r="E40" s="654"/>
      <c r="F40" s="654"/>
      <c r="G40" s="654"/>
      <c r="H40" s="654"/>
      <c r="I40" s="654"/>
      <c r="J40" s="654"/>
      <c r="K40" s="654"/>
      <c r="L40" s="654"/>
      <c r="M40" s="654"/>
      <c r="N40" s="654"/>
      <c r="O40" s="654"/>
      <c r="P40" s="654"/>
      <c r="Q40" s="654"/>
      <c r="R40" s="654"/>
    </row>
  </sheetData>
  <sheetProtection password="CC20" sheet="1" objects="1" scenario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8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11"/>
    <col min="33" max="33" width="10.28515625" style="311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52"/>
      <c r="B1" s="312" t="s">
        <v>1015</v>
      </c>
      <c r="C1" s="312" t="s">
        <v>4280</v>
      </c>
      <c r="D1" s="135" t="s">
        <v>454</v>
      </c>
      <c r="E1" t="s">
        <v>157</v>
      </c>
      <c r="F1" t="s">
        <v>158</v>
      </c>
      <c r="G1" t="s">
        <v>142</v>
      </c>
      <c r="H1" t="s">
        <v>325</v>
      </c>
      <c r="I1" t="s">
        <v>368</v>
      </c>
      <c r="J1" t="s">
        <v>203</v>
      </c>
      <c r="K1" t="s">
        <v>143</v>
      </c>
      <c r="L1" t="s">
        <v>144</v>
      </c>
      <c r="M1" t="s">
        <v>96</v>
      </c>
      <c r="N1" t="s">
        <v>361</v>
      </c>
      <c r="O1" t="s">
        <v>362</v>
      </c>
      <c r="P1" t="s">
        <v>363</v>
      </c>
      <c r="Q1" t="s">
        <v>369</v>
      </c>
      <c r="R1" t="s">
        <v>222</v>
      </c>
      <c r="S1" t="s">
        <v>365</v>
      </c>
      <c r="T1" t="s">
        <v>366</v>
      </c>
      <c r="U1" s="312" t="s">
        <v>1014</v>
      </c>
      <c r="V1" t="s">
        <v>350</v>
      </c>
      <c r="W1" t="s">
        <v>438</v>
      </c>
      <c r="X1" t="s">
        <v>325</v>
      </c>
      <c r="Y1" t="s">
        <v>439</v>
      </c>
      <c r="Z1" t="s">
        <v>150</v>
      </c>
      <c r="AA1" t="s">
        <v>369</v>
      </c>
      <c r="AB1" t="s">
        <v>440</v>
      </c>
      <c r="AC1" t="s">
        <v>422</v>
      </c>
      <c r="AE1" s="312" t="s">
        <v>267</v>
      </c>
      <c r="AF1" s="312" t="s">
        <v>4112</v>
      </c>
      <c r="AG1" s="312" t="s">
        <v>4113</v>
      </c>
      <c r="AH1" s="312" t="s">
        <v>1016</v>
      </c>
      <c r="AI1" s="312" t="s">
        <v>199</v>
      </c>
      <c r="AJ1" s="312" t="s">
        <v>1017</v>
      </c>
      <c r="AK1" s="312" t="s">
        <v>1018</v>
      </c>
      <c r="AL1" s="312" t="s">
        <v>4108</v>
      </c>
      <c r="AM1" s="312" t="s">
        <v>4114</v>
      </c>
      <c r="AN1" s="312" t="s">
        <v>150</v>
      </c>
      <c r="AO1" s="312" t="s">
        <v>4117</v>
      </c>
      <c r="AP1" s="312" t="s">
        <v>4311</v>
      </c>
    </row>
    <row r="2" spans="1:42" x14ac:dyDescent="0.2">
      <c r="A2">
        <v>1</v>
      </c>
      <c r="E2" s="15">
        <v>0</v>
      </c>
      <c r="G2">
        <v>0</v>
      </c>
      <c r="H2">
        <f t="shared" ref="H2:H21" si="0">E2*G2</f>
        <v>0</v>
      </c>
      <c r="I2">
        <v>1</v>
      </c>
      <c r="J2" s="311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11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5">
        <v>0</v>
      </c>
      <c r="G3">
        <v>0</v>
      </c>
      <c r="H3">
        <f t="shared" si="0"/>
        <v>0</v>
      </c>
      <c r="I3">
        <v>1</v>
      </c>
      <c r="J3" s="311">
        <f t="shared" si="1"/>
        <v>0</v>
      </c>
      <c r="K3">
        <f t="shared" si="2"/>
        <v>0</v>
      </c>
      <c r="M3" s="311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11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11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11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11">
        <f t="shared" si="9"/>
        <v>0</v>
      </c>
      <c r="AF3" s="311" t="b">
        <v>0</v>
      </c>
      <c r="AI3">
        <v>0</v>
      </c>
      <c r="AL3" s="311" t="str">
        <f t="shared" ref="AL3:AL31" si="16">IF(OR(U3=0,U3=""),"","verw")</f>
        <v/>
      </c>
      <c r="AM3" s="311" t="str">
        <f t="shared" ref="AM3:AM31" si="17">IF(C3&gt;1,M3&amp;" "&amp;F3&amp;"/kg/dag","")</f>
        <v/>
      </c>
      <c r="AN3" s="311" t="str">
        <f t="shared" ref="AN3:AN31" si="18">IF(AND(C3&gt;1,O3&gt;1,N3&gt;0),ROUND(H3/N3,2)&amp;" "&amp;F3&amp;"/ml","")</f>
        <v/>
      </c>
      <c r="AO3" s="311" t="str">
        <f t="shared" ref="AO3:AO31" si="19">IF(AF3,"PRN","")</f>
        <v/>
      </c>
      <c r="AP3" s="311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5">
        <v>0</v>
      </c>
      <c r="G4">
        <v>0</v>
      </c>
      <c r="H4">
        <f t="shared" si="0"/>
        <v>0</v>
      </c>
      <c r="I4">
        <v>1</v>
      </c>
      <c r="J4" s="311">
        <f t="shared" si="1"/>
        <v>0</v>
      </c>
      <c r="K4">
        <f t="shared" si="2"/>
        <v>0</v>
      </c>
      <c r="M4" s="311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11" t="str">
        <f t="shared" si="7"/>
        <v/>
      </c>
      <c r="X4" t="str">
        <f t="shared" si="8"/>
        <v/>
      </c>
      <c r="Y4" t="str">
        <f t="shared" si="12"/>
        <v/>
      </c>
      <c r="Z4" s="311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11" t="str">
        <f t="shared" si="14"/>
        <v/>
      </c>
      <c r="AD4">
        <f t="shared" si="15"/>
        <v>2</v>
      </c>
      <c r="AE4" s="311">
        <f t="shared" si="9"/>
        <v>0</v>
      </c>
      <c r="AF4" s="311" t="b">
        <v>0</v>
      </c>
      <c r="AI4">
        <v>0</v>
      </c>
      <c r="AL4" s="311" t="str">
        <f t="shared" si="16"/>
        <v/>
      </c>
      <c r="AM4" s="311" t="str">
        <f t="shared" si="17"/>
        <v/>
      </c>
      <c r="AN4" s="311" t="str">
        <f t="shared" si="18"/>
        <v/>
      </c>
      <c r="AO4" s="311" t="str">
        <f t="shared" si="19"/>
        <v/>
      </c>
      <c r="AP4" s="311" t="str">
        <f t="shared" si="20"/>
        <v/>
      </c>
    </row>
    <row r="5" spans="1:42" x14ac:dyDescent="0.2">
      <c r="A5">
        <v>4</v>
      </c>
      <c r="E5" s="15">
        <v>0</v>
      </c>
      <c r="G5">
        <v>0</v>
      </c>
      <c r="H5">
        <f t="shared" si="0"/>
        <v>0</v>
      </c>
      <c r="I5">
        <v>1</v>
      </c>
      <c r="J5" s="311">
        <f t="shared" si="1"/>
        <v>0</v>
      </c>
      <c r="K5">
        <f t="shared" si="2"/>
        <v>0</v>
      </c>
      <c r="M5" s="311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11" t="str">
        <f t="shared" si="7"/>
        <v/>
      </c>
      <c r="X5" t="str">
        <f t="shared" si="8"/>
        <v/>
      </c>
      <c r="Y5" t="str">
        <f t="shared" si="12"/>
        <v/>
      </c>
      <c r="Z5" s="311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11" t="str">
        <f t="shared" si="14"/>
        <v/>
      </c>
      <c r="AD5">
        <f t="shared" si="15"/>
        <v>2</v>
      </c>
      <c r="AE5" s="311">
        <f t="shared" si="9"/>
        <v>0</v>
      </c>
      <c r="AF5" s="311" t="b">
        <v>0</v>
      </c>
      <c r="AI5">
        <v>0</v>
      </c>
      <c r="AL5" s="311" t="str">
        <f t="shared" si="16"/>
        <v/>
      </c>
      <c r="AM5" s="311" t="str">
        <f t="shared" si="17"/>
        <v/>
      </c>
      <c r="AN5" s="311" t="str">
        <f t="shared" si="18"/>
        <v/>
      </c>
      <c r="AO5" s="311" t="str">
        <f t="shared" si="19"/>
        <v/>
      </c>
      <c r="AP5" s="311" t="str">
        <f t="shared" si="20"/>
        <v/>
      </c>
    </row>
    <row r="6" spans="1:42" x14ac:dyDescent="0.2">
      <c r="A6" s="352">
        <v>5</v>
      </c>
      <c r="E6" s="15">
        <v>0</v>
      </c>
      <c r="G6">
        <v>0</v>
      </c>
      <c r="H6">
        <f t="shared" si="0"/>
        <v>0</v>
      </c>
      <c r="I6">
        <v>1</v>
      </c>
      <c r="J6" s="311">
        <f t="shared" si="1"/>
        <v>0</v>
      </c>
      <c r="K6">
        <f t="shared" si="2"/>
        <v>0</v>
      </c>
      <c r="M6" s="311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11" t="str">
        <f t="shared" si="7"/>
        <v/>
      </c>
      <c r="X6" t="str">
        <f t="shared" si="8"/>
        <v/>
      </c>
      <c r="Y6" t="str">
        <f t="shared" si="12"/>
        <v/>
      </c>
      <c r="Z6" s="311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11" t="str">
        <f t="shared" si="14"/>
        <v/>
      </c>
      <c r="AD6">
        <f t="shared" si="15"/>
        <v>2</v>
      </c>
      <c r="AE6" s="311">
        <f t="shared" si="9"/>
        <v>0</v>
      </c>
      <c r="AF6" s="311" t="b">
        <v>0</v>
      </c>
      <c r="AI6">
        <v>0</v>
      </c>
      <c r="AL6" s="311" t="str">
        <f t="shared" si="16"/>
        <v/>
      </c>
      <c r="AM6" s="311" t="str">
        <f t="shared" si="17"/>
        <v/>
      </c>
      <c r="AN6" s="311" t="str">
        <f t="shared" si="18"/>
        <v/>
      </c>
      <c r="AO6" s="311" t="str">
        <f t="shared" si="19"/>
        <v/>
      </c>
      <c r="AP6" s="311" t="str">
        <f t="shared" si="20"/>
        <v/>
      </c>
    </row>
    <row r="7" spans="1:42" x14ac:dyDescent="0.2">
      <c r="A7">
        <v>6</v>
      </c>
      <c r="E7" s="15">
        <v>0</v>
      </c>
      <c r="G7">
        <v>0</v>
      </c>
      <c r="H7">
        <f t="shared" si="0"/>
        <v>0</v>
      </c>
      <c r="I7">
        <v>1</v>
      </c>
      <c r="J7" s="311">
        <f t="shared" si="1"/>
        <v>0</v>
      </c>
      <c r="K7">
        <f t="shared" si="2"/>
        <v>0</v>
      </c>
      <c r="M7" s="311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11" t="str">
        <f t="shared" si="7"/>
        <v/>
      </c>
      <c r="X7" t="str">
        <f t="shared" si="8"/>
        <v/>
      </c>
      <c r="Y7" t="str">
        <f t="shared" si="12"/>
        <v/>
      </c>
      <c r="Z7" s="311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11" t="str">
        <f t="shared" si="14"/>
        <v/>
      </c>
      <c r="AD7">
        <f t="shared" si="15"/>
        <v>2</v>
      </c>
      <c r="AE7" s="311">
        <f t="shared" si="9"/>
        <v>0</v>
      </c>
      <c r="AF7" s="311" t="b">
        <v>0</v>
      </c>
      <c r="AI7">
        <v>0</v>
      </c>
      <c r="AL7" s="311" t="str">
        <f t="shared" si="16"/>
        <v/>
      </c>
      <c r="AM7" s="311" t="str">
        <f t="shared" si="17"/>
        <v/>
      </c>
      <c r="AN7" s="311" t="str">
        <f t="shared" si="18"/>
        <v/>
      </c>
      <c r="AO7" s="311" t="str">
        <f t="shared" si="19"/>
        <v/>
      </c>
      <c r="AP7" s="311" t="str">
        <f t="shared" si="20"/>
        <v/>
      </c>
    </row>
    <row r="8" spans="1:42" x14ac:dyDescent="0.2">
      <c r="A8">
        <v>7</v>
      </c>
      <c r="E8" s="15">
        <v>0</v>
      </c>
      <c r="G8">
        <v>0</v>
      </c>
      <c r="H8">
        <f t="shared" si="0"/>
        <v>0</v>
      </c>
      <c r="I8">
        <v>1</v>
      </c>
      <c r="J8" s="311">
        <f t="shared" si="1"/>
        <v>0</v>
      </c>
      <c r="K8">
        <f t="shared" si="2"/>
        <v>0</v>
      </c>
      <c r="M8" s="311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11" t="str">
        <f t="shared" si="7"/>
        <v/>
      </c>
      <c r="X8" t="str">
        <f t="shared" si="8"/>
        <v/>
      </c>
      <c r="Y8" t="str">
        <f t="shared" si="12"/>
        <v/>
      </c>
      <c r="Z8" s="311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11" t="str">
        <f t="shared" si="14"/>
        <v/>
      </c>
      <c r="AD8">
        <f t="shared" si="15"/>
        <v>2</v>
      </c>
      <c r="AE8" s="311">
        <f t="shared" si="9"/>
        <v>0</v>
      </c>
      <c r="AF8" s="311" t="b">
        <v>0</v>
      </c>
      <c r="AI8">
        <v>0</v>
      </c>
      <c r="AL8" s="311" t="str">
        <f t="shared" si="16"/>
        <v/>
      </c>
      <c r="AM8" s="311" t="str">
        <f t="shared" si="17"/>
        <v/>
      </c>
      <c r="AN8" s="311" t="str">
        <f t="shared" si="18"/>
        <v/>
      </c>
      <c r="AO8" s="311" t="str">
        <f t="shared" si="19"/>
        <v/>
      </c>
      <c r="AP8" s="311" t="str">
        <f t="shared" si="20"/>
        <v/>
      </c>
    </row>
    <row r="9" spans="1:42" x14ac:dyDescent="0.2">
      <c r="A9">
        <v>8</v>
      </c>
      <c r="E9" s="15">
        <v>0</v>
      </c>
      <c r="G9">
        <v>0</v>
      </c>
      <c r="H9">
        <f t="shared" si="0"/>
        <v>0</v>
      </c>
      <c r="I9">
        <v>1</v>
      </c>
      <c r="J9" s="311">
        <f t="shared" si="1"/>
        <v>0</v>
      </c>
      <c r="K9">
        <f t="shared" si="2"/>
        <v>0</v>
      </c>
      <c r="M9" s="311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11" t="str">
        <f t="shared" si="7"/>
        <v/>
      </c>
      <c r="X9" t="str">
        <f t="shared" si="8"/>
        <v/>
      </c>
      <c r="Y9" t="str">
        <f t="shared" si="12"/>
        <v/>
      </c>
      <c r="Z9" s="311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11" t="str">
        <f t="shared" si="14"/>
        <v/>
      </c>
      <c r="AD9">
        <f t="shared" si="15"/>
        <v>2</v>
      </c>
      <c r="AE9" s="311">
        <f t="shared" si="9"/>
        <v>0</v>
      </c>
      <c r="AF9" s="311" t="b">
        <v>0</v>
      </c>
      <c r="AI9">
        <v>0</v>
      </c>
      <c r="AL9" s="311" t="str">
        <f t="shared" si="16"/>
        <v/>
      </c>
      <c r="AM9" s="311" t="str">
        <f t="shared" si="17"/>
        <v/>
      </c>
      <c r="AN9" s="311" t="str">
        <f t="shared" si="18"/>
        <v/>
      </c>
      <c r="AO9" s="311" t="str">
        <f t="shared" si="19"/>
        <v/>
      </c>
      <c r="AP9" s="311" t="str">
        <f t="shared" si="20"/>
        <v/>
      </c>
    </row>
    <row r="10" spans="1:42" x14ac:dyDescent="0.2">
      <c r="A10">
        <v>9</v>
      </c>
      <c r="E10" s="15">
        <v>0</v>
      </c>
      <c r="G10">
        <v>0</v>
      </c>
      <c r="H10">
        <f t="shared" si="0"/>
        <v>0</v>
      </c>
      <c r="I10">
        <v>1</v>
      </c>
      <c r="J10" s="311">
        <f t="shared" si="1"/>
        <v>0</v>
      </c>
      <c r="K10">
        <f t="shared" si="2"/>
        <v>0</v>
      </c>
      <c r="M10" s="311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11" t="str">
        <f t="shared" si="7"/>
        <v/>
      </c>
      <c r="X10" t="str">
        <f t="shared" si="8"/>
        <v/>
      </c>
      <c r="Y10" t="str">
        <f t="shared" si="12"/>
        <v/>
      </c>
      <c r="Z10" s="311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11" t="str">
        <f t="shared" si="14"/>
        <v/>
      </c>
      <c r="AD10">
        <f t="shared" si="15"/>
        <v>2</v>
      </c>
      <c r="AE10" s="311">
        <f t="shared" si="9"/>
        <v>0</v>
      </c>
      <c r="AF10" s="311" t="b">
        <v>0</v>
      </c>
      <c r="AI10">
        <v>0</v>
      </c>
      <c r="AL10" s="311" t="str">
        <f t="shared" si="16"/>
        <v/>
      </c>
      <c r="AM10" s="311" t="str">
        <f t="shared" si="17"/>
        <v/>
      </c>
      <c r="AN10" s="311" t="str">
        <f t="shared" si="18"/>
        <v/>
      </c>
      <c r="AO10" s="311" t="str">
        <f t="shared" si="19"/>
        <v/>
      </c>
      <c r="AP10" s="311" t="str">
        <f t="shared" si="20"/>
        <v/>
      </c>
    </row>
    <row r="11" spans="1:42" x14ac:dyDescent="0.2">
      <c r="A11">
        <v>10</v>
      </c>
      <c r="E11" s="15">
        <v>0</v>
      </c>
      <c r="G11">
        <v>0</v>
      </c>
      <c r="H11">
        <f t="shared" si="0"/>
        <v>0</v>
      </c>
      <c r="I11">
        <v>1</v>
      </c>
      <c r="J11" s="311">
        <f t="shared" si="1"/>
        <v>0</v>
      </c>
      <c r="K11">
        <f t="shared" si="2"/>
        <v>0</v>
      </c>
      <c r="M11" s="311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11" t="str">
        <f t="shared" si="7"/>
        <v/>
      </c>
      <c r="X11" t="str">
        <f t="shared" si="8"/>
        <v/>
      </c>
      <c r="Y11" t="str">
        <f t="shared" si="12"/>
        <v/>
      </c>
      <c r="Z11" s="311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11" t="str">
        <f t="shared" si="14"/>
        <v/>
      </c>
      <c r="AD11">
        <f t="shared" si="15"/>
        <v>2</v>
      </c>
      <c r="AE11" s="311">
        <f t="shared" si="9"/>
        <v>0</v>
      </c>
      <c r="AF11" s="311" t="b">
        <v>0</v>
      </c>
      <c r="AI11">
        <v>0</v>
      </c>
      <c r="AL11" s="311" t="str">
        <f t="shared" si="16"/>
        <v/>
      </c>
      <c r="AM11" s="311" t="str">
        <f t="shared" si="17"/>
        <v/>
      </c>
      <c r="AN11" s="311" t="str">
        <f t="shared" si="18"/>
        <v/>
      </c>
      <c r="AO11" s="311" t="str">
        <f t="shared" si="19"/>
        <v/>
      </c>
      <c r="AP11" s="311" t="str">
        <f t="shared" si="20"/>
        <v/>
      </c>
    </row>
    <row r="12" spans="1:42" x14ac:dyDescent="0.2">
      <c r="A12">
        <v>11</v>
      </c>
      <c r="E12" s="15">
        <v>0</v>
      </c>
      <c r="G12">
        <v>0</v>
      </c>
      <c r="H12">
        <f t="shared" si="0"/>
        <v>0</v>
      </c>
      <c r="I12">
        <v>1</v>
      </c>
      <c r="J12" s="311">
        <f t="shared" si="1"/>
        <v>0</v>
      </c>
      <c r="K12">
        <f t="shared" si="2"/>
        <v>0</v>
      </c>
      <c r="M12" s="311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11" t="str">
        <f t="shared" si="7"/>
        <v/>
      </c>
      <c r="X12" t="str">
        <f t="shared" si="8"/>
        <v/>
      </c>
      <c r="Y12" t="str">
        <f t="shared" si="12"/>
        <v/>
      </c>
      <c r="Z12" s="311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11" t="str">
        <f t="shared" si="14"/>
        <v/>
      </c>
      <c r="AD12">
        <f t="shared" si="15"/>
        <v>2</v>
      </c>
      <c r="AE12" s="311">
        <f t="shared" si="9"/>
        <v>0</v>
      </c>
      <c r="AF12" s="311" t="b">
        <v>0</v>
      </c>
      <c r="AI12">
        <v>0</v>
      </c>
      <c r="AL12" s="311" t="str">
        <f t="shared" si="16"/>
        <v/>
      </c>
      <c r="AM12" s="311" t="str">
        <f t="shared" si="17"/>
        <v/>
      </c>
      <c r="AN12" s="311" t="str">
        <f t="shared" si="18"/>
        <v/>
      </c>
      <c r="AO12" s="311" t="str">
        <f t="shared" si="19"/>
        <v/>
      </c>
      <c r="AP12" s="311" t="str">
        <f t="shared" si="20"/>
        <v/>
      </c>
    </row>
    <row r="13" spans="1:42" x14ac:dyDescent="0.2">
      <c r="A13">
        <v>12</v>
      </c>
      <c r="E13" s="15">
        <v>0</v>
      </c>
      <c r="G13">
        <v>0</v>
      </c>
      <c r="H13">
        <f t="shared" si="0"/>
        <v>0</v>
      </c>
      <c r="I13">
        <v>1</v>
      </c>
      <c r="J13" s="311">
        <f t="shared" si="1"/>
        <v>0</v>
      </c>
      <c r="K13">
        <f t="shared" si="2"/>
        <v>0</v>
      </c>
      <c r="M13" s="311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11" t="str">
        <f t="shared" si="7"/>
        <v/>
      </c>
      <c r="X13" t="str">
        <f t="shared" si="8"/>
        <v/>
      </c>
      <c r="Y13" t="str">
        <f t="shared" si="12"/>
        <v/>
      </c>
      <c r="Z13" s="311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11" t="str">
        <f t="shared" si="14"/>
        <v/>
      </c>
      <c r="AD13">
        <f t="shared" si="15"/>
        <v>2</v>
      </c>
      <c r="AE13" s="311">
        <f t="shared" si="9"/>
        <v>0</v>
      </c>
      <c r="AF13" s="311" t="b">
        <v>0</v>
      </c>
      <c r="AI13">
        <v>0</v>
      </c>
      <c r="AL13" s="311" t="str">
        <f t="shared" si="16"/>
        <v/>
      </c>
      <c r="AM13" s="311" t="str">
        <f t="shared" si="17"/>
        <v/>
      </c>
      <c r="AN13" s="311" t="str">
        <f t="shared" si="18"/>
        <v/>
      </c>
      <c r="AO13" s="311" t="str">
        <f t="shared" si="19"/>
        <v/>
      </c>
      <c r="AP13" s="311" t="str">
        <f t="shared" si="20"/>
        <v/>
      </c>
    </row>
    <row r="14" spans="1:42" x14ac:dyDescent="0.2">
      <c r="A14">
        <v>13</v>
      </c>
      <c r="E14" s="15">
        <v>0</v>
      </c>
      <c r="G14">
        <v>0</v>
      </c>
      <c r="H14">
        <f t="shared" si="0"/>
        <v>0</v>
      </c>
      <c r="I14">
        <v>1</v>
      </c>
      <c r="J14" s="311">
        <f t="shared" si="1"/>
        <v>0</v>
      </c>
      <c r="K14">
        <f t="shared" si="2"/>
        <v>0</v>
      </c>
      <c r="M14" s="311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11" t="str">
        <f t="shared" si="7"/>
        <v/>
      </c>
      <c r="X14" t="str">
        <f t="shared" si="8"/>
        <v/>
      </c>
      <c r="Y14" t="str">
        <f t="shared" si="12"/>
        <v/>
      </c>
      <c r="Z14" s="311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11" t="str">
        <f t="shared" si="14"/>
        <v/>
      </c>
      <c r="AD14">
        <f t="shared" si="15"/>
        <v>2</v>
      </c>
      <c r="AE14" s="311">
        <f t="shared" si="9"/>
        <v>0</v>
      </c>
      <c r="AF14" s="311" t="b">
        <v>0</v>
      </c>
      <c r="AI14">
        <v>0</v>
      </c>
      <c r="AL14" s="311" t="str">
        <f t="shared" si="16"/>
        <v/>
      </c>
      <c r="AM14" s="311" t="str">
        <f t="shared" si="17"/>
        <v/>
      </c>
      <c r="AN14" s="311" t="str">
        <f t="shared" si="18"/>
        <v/>
      </c>
      <c r="AO14" s="311" t="str">
        <f t="shared" si="19"/>
        <v/>
      </c>
      <c r="AP14" s="311" t="str">
        <f t="shared" si="20"/>
        <v/>
      </c>
    </row>
    <row r="15" spans="1:42" x14ac:dyDescent="0.2">
      <c r="A15">
        <v>14</v>
      </c>
      <c r="E15" s="15">
        <v>0</v>
      </c>
      <c r="G15">
        <v>0</v>
      </c>
      <c r="H15">
        <f t="shared" si="0"/>
        <v>0</v>
      </c>
      <c r="I15">
        <v>1</v>
      </c>
      <c r="J15" s="311">
        <f t="shared" si="1"/>
        <v>0</v>
      </c>
      <c r="K15">
        <f t="shared" si="2"/>
        <v>0</v>
      </c>
      <c r="M15" s="311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11" t="str">
        <f t="shared" si="7"/>
        <v/>
      </c>
      <c r="X15" t="str">
        <f t="shared" si="8"/>
        <v/>
      </c>
      <c r="Y15" t="str">
        <f t="shared" si="12"/>
        <v/>
      </c>
      <c r="Z15" s="311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11" t="str">
        <f t="shared" si="14"/>
        <v/>
      </c>
      <c r="AD15">
        <f t="shared" si="15"/>
        <v>2</v>
      </c>
      <c r="AE15" s="311">
        <f t="shared" si="9"/>
        <v>0</v>
      </c>
      <c r="AF15" s="311" t="b">
        <v>0</v>
      </c>
      <c r="AI15">
        <v>0</v>
      </c>
      <c r="AL15" s="311" t="str">
        <f t="shared" si="16"/>
        <v/>
      </c>
      <c r="AM15" s="311" t="str">
        <f t="shared" si="17"/>
        <v/>
      </c>
      <c r="AN15" s="311" t="str">
        <f t="shared" si="18"/>
        <v/>
      </c>
      <c r="AO15" s="311" t="str">
        <f t="shared" si="19"/>
        <v/>
      </c>
      <c r="AP15" s="311" t="str">
        <f t="shared" si="20"/>
        <v/>
      </c>
    </row>
    <row r="16" spans="1:42" x14ac:dyDescent="0.2">
      <c r="A16">
        <v>15</v>
      </c>
      <c r="E16" s="15">
        <v>0</v>
      </c>
      <c r="G16">
        <v>0</v>
      </c>
      <c r="H16">
        <f t="shared" si="0"/>
        <v>0</v>
      </c>
      <c r="I16">
        <v>1</v>
      </c>
      <c r="J16" s="311">
        <f t="shared" si="1"/>
        <v>0</v>
      </c>
      <c r="K16">
        <f t="shared" si="2"/>
        <v>0</v>
      </c>
      <c r="M16" s="311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11" t="str">
        <f t="shared" si="7"/>
        <v/>
      </c>
      <c r="X16" t="str">
        <f t="shared" si="8"/>
        <v/>
      </c>
      <c r="Y16" t="str">
        <f t="shared" si="12"/>
        <v/>
      </c>
      <c r="Z16" s="311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11" t="str">
        <f t="shared" si="14"/>
        <v/>
      </c>
      <c r="AD16">
        <f t="shared" si="15"/>
        <v>2</v>
      </c>
      <c r="AE16" s="311">
        <f t="shared" si="9"/>
        <v>0</v>
      </c>
      <c r="AF16" s="311" t="b">
        <v>0</v>
      </c>
      <c r="AI16">
        <v>0</v>
      </c>
      <c r="AL16" s="311" t="str">
        <f t="shared" si="16"/>
        <v/>
      </c>
      <c r="AM16" s="311" t="str">
        <f t="shared" si="17"/>
        <v/>
      </c>
      <c r="AN16" s="311" t="str">
        <f t="shared" si="18"/>
        <v/>
      </c>
      <c r="AO16" s="311" t="str">
        <f t="shared" si="19"/>
        <v/>
      </c>
      <c r="AP16" s="311" t="str">
        <f t="shared" si="20"/>
        <v/>
      </c>
    </row>
    <row r="17" spans="1:42" x14ac:dyDescent="0.2">
      <c r="A17">
        <v>16</v>
      </c>
      <c r="E17" s="15">
        <v>0</v>
      </c>
      <c r="G17">
        <v>0</v>
      </c>
      <c r="H17">
        <f t="shared" si="0"/>
        <v>0</v>
      </c>
      <c r="I17">
        <v>1</v>
      </c>
      <c r="J17" s="311">
        <f t="shared" si="1"/>
        <v>0</v>
      </c>
      <c r="K17">
        <f t="shared" si="2"/>
        <v>0</v>
      </c>
      <c r="M17" s="311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11" t="str">
        <f t="shared" si="7"/>
        <v/>
      </c>
      <c r="X17" t="str">
        <f t="shared" si="8"/>
        <v/>
      </c>
      <c r="Y17" t="str">
        <f t="shared" si="12"/>
        <v/>
      </c>
      <c r="Z17" s="311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11" t="str">
        <f t="shared" si="14"/>
        <v/>
      </c>
      <c r="AD17">
        <f t="shared" si="15"/>
        <v>2</v>
      </c>
      <c r="AE17" s="311">
        <f t="shared" si="9"/>
        <v>0</v>
      </c>
      <c r="AF17" s="311" t="b">
        <v>0</v>
      </c>
      <c r="AI17">
        <v>0</v>
      </c>
      <c r="AL17" s="311" t="str">
        <f t="shared" si="16"/>
        <v/>
      </c>
      <c r="AM17" s="311" t="str">
        <f t="shared" si="17"/>
        <v/>
      </c>
      <c r="AN17" s="311" t="str">
        <f t="shared" si="18"/>
        <v/>
      </c>
      <c r="AO17" s="311" t="str">
        <f t="shared" si="19"/>
        <v/>
      </c>
      <c r="AP17" s="311" t="str">
        <f t="shared" si="20"/>
        <v/>
      </c>
    </row>
    <row r="18" spans="1:42" x14ac:dyDescent="0.2">
      <c r="A18">
        <v>17</v>
      </c>
      <c r="E18" s="15">
        <v>0</v>
      </c>
      <c r="G18">
        <v>0</v>
      </c>
      <c r="H18">
        <f t="shared" si="0"/>
        <v>0</v>
      </c>
      <c r="I18">
        <v>1</v>
      </c>
      <c r="J18" s="311">
        <f t="shared" si="1"/>
        <v>0</v>
      </c>
      <c r="K18">
        <f t="shared" si="2"/>
        <v>0</v>
      </c>
      <c r="M18" s="311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11" t="str">
        <f t="shared" si="7"/>
        <v/>
      </c>
      <c r="X18" t="str">
        <f t="shared" si="8"/>
        <v/>
      </c>
      <c r="Y18" t="str">
        <f t="shared" si="12"/>
        <v/>
      </c>
      <c r="Z18" s="311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11" t="str">
        <f t="shared" si="14"/>
        <v/>
      </c>
      <c r="AD18">
        <f t="shared" si="15"/>
        <v>2</v>
      </c>
      <c r="AE18" s="311">
        <f t="shared" si="9"/>
        <v>0</v>
      </c>
      <c r="AF18" s="311" t="b">
        <v>0</v>
      </c>
      <c r="AI18">
        <v>0</v>
      </c>
      <c r="AL18" s="311" t="str">
        <f t="shared" si="16"/>
        <v/>
      </c>
      <c r="AM18" s="311" t="str">
        <f t="shared" si="17"/>
        <v/>
      </c>
      <c r="AN18" s="311" t="str">
        <f t="shared" si="18"/>
        <v/>
      </c>
      <c r="AO18" s="311" t="str">
        <f t="shared" si="19"/>
        <v/>
      </c>
      <c r="AP18" s="311" t="str">
        <f t="shared" si="20"/>
        <v/>
      </c>
    </row>
    <row r="19" spans="1:42" x14ac:dyDescent="0.2">
      <c r="A19">
        <v>18</v>
      </c>
      <c r="E19" s="15">
        <v>0</v>
      </c>
      <c r="G19">
        <v>0</v>
      </c>
      <c r="H19">
        <f t="shared" si="0"/>
        <v>0</v>
      </c>
      <c r="I19">
        <v>1</v>
      </c>
      <c r="J19" s="311">
        <f t="shared" si="1"/>
        <v>0</v>
      </c>
      <c r="K19">
        <f t="shared" si="2"/>
        <v>0</v>
      </c>
      <c r="M19" s="311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11" t="str">
        <f t="shared" si="7"/>
        <v/>
      </c>
      <c r="X19" t="str">
        <f t="shared" si="8"/>
        <v/>
      </c>
      <c r="Y19" t="str">
        <f t="shared" si="12"/>
        <v/>
      </c>
      <c r="Z19" s="311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11" t="str">
        <f t="shared" si="14"/>
        <v/>
      </c>
      <c r="AD19">
        <f t="shared" si="15"/>
        <v>2</v>
      </c>
      <c r="AE19" s="311">
        <f t="shared" si="9"/>
        <v>0</v>
      </c>
      <c r="AF19" s="311" t="b">
        <v>0</v>
      </c>
      <c r="AI19">
        <v>0</v>
      </c>
      <c r="AL19" s="311" t="str">
        <f t="shared" si="16"/>
        <v/>
      </c>
      <c r="AM19" s="311" t="str">
        <f t="shared" si="17"/>
        <v/>
      </c>
      <c r="AN19" s="311" t="str">
        <f t="shared" si="18"/>
        <v/>
      </c>
      <c r="AO19" s="311" t="str">
        <f t="shared" si="19"/>
        <v/>
      </c>
      <c r="AP19" s="311" t="str">
        <f t="shared" si="20"/>
        <v/>
      </c>
    </row>
    <row r="20" spans="1:42" x14ac:dyDescent="0.2">
      <c r="A20">
        <v>19</v>
      </c>
      <c r="E20" s="15">
        <v>0</v>
      </c>
      <c r="G20">
        <v>0</v>
      </c>
      <c r="H20">
        <f t="shared" si="0"/>
        <v>0</v>
      </c>
      <c r="I20">
        <v>1</v>
      </c>
      <c r="J20" s="311">
        <f t="shared" si="1"/>
        <v>0</v>
      </c>
      <c r="K20">
        <f t="shared" si="2"/>
        <v>0</v>
      </c>
      <c r="M20" s="311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11" t="str">
        <f t="shared" si="7"/>
        <v/>
      </c>
      <c r="X20" t="str">
        <f t="shared" si="8"/>
        <v/>
      </c>
      <c r="Y20" t="str">
        <f t="shared" si="12"/>
        <v/>
      </c>
      <c r="Z20" s="311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11" t="str">
        <f t="shared" si="14"/>
        <v/>
      </c>
      <c r="AD20">
        <f t="shared" si="15"/>
        <v>2</v>
      </c>
      <c r="AE20" s="311">
        <f t="shared" si="9"/>
        <v>0</v>
      </c>
      <c r="AF20" s="311" t="b">
        <v>0</v>
      </c>
      <c r="AI20">
        <v>0</v>
      </c>
      <c r="AL20" s="311" t="str">
        <f t="shared" si="16"/>
        <v/>
      </c>
      <c r="AM20" s="311" t="str">
        <f t="shared" si="17"/>
        <v/>
      </c>
      <c r="AN20" s="311" t="str">
        <f t="shared" si="18"/>
        <v/>
      </c>
      <c r="AO20" s="311" t="str">
        <f t="shared" si="19"/>
        <v/>
      </c>
      <c r="AP20" s="311" t="str">
        <f t="shared" si="20"/>
        <v/>
      </c>
    </row>
    <row r="21" spans="1:42" x14ac:dyDescent="0.2">
      <c r="A21">
        <v>20</v>
      </c>
      <c r="E21" s="15">
        <v>0</v>
      </c>
      <c r="G21">
        <v>0</v>
      </c>
      <c r="H21">
        <f t="shared" si="0"/>
        <v>0</v>
      </c>
      <c r="I21">
        <v>1</v>
      </c>
      <c r="J21" s="311">
        <f t="shared" si="1"/>
        <v>0</v>
      </c>
      <c r="K21">
        <f t="shared" si="2"/>
        <v>0</v>
      </c>
      <c r="M21" s="311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11" t="str">
        <f t="shared" si="7"/>
        <v/>
      </c>
      <c r="X21" t="str">
        <f t="shared" si="8"/>
        <v/>
      </c>
      <c r="Y21" t="str">
        <f t="shared" si="12"/>
        <v/>
      </c>
      <c r="Z21" s="311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11" t="str">
        <f t="shared" si="14"/>
        <v/>
      </c>
      <c r="AD21">
        <f t="shared" si="15"/>
        <v>2</v>
      </c>
      <c r="AE21" s="311">
        <f t="shared" si="9"/>
        <v>0</v>
      </c>
      <c r="AF21" s="311" t="b">
        <v>0</v>
      </c>
      <c r="AI21">
        <v>0</v>
      </c>
      <c r="AL21" s="311" t="str">
        <f t="shared" si="16"/>
        <v/>
      </c>
      <c r="AM21" s="311" t="str">
        <f t="shared" si="17"/>
        <v/>
      </c>
      <c r="AN21" s="311" t="str">
        <f t="shared" si="18"/>
        <v/>
      </c>
      <c r="AO21" s="311" t="str">
        <f t="shared" si="19"/>
        <v/>
      </c>
      <c r="AP21" s="311" t="str">
        <f t="shared" si="20"/>
        <v/>
      </c>
    </row>
    <row r="22" spans="1:42" x14ac:dyDescent="0.2">
      <c r="A22" s="311">
        <v>21</v>
      </c>
      <c r="B22" s="311"/>
      <c r="C22" s="311"/>
      <c r="D22" s="311"/>
      <c r="E22" s="313">
        <v>0</v>
      </c>
      <c r="F22" s="311"/>
      <c r="G22" s="311">
        <v>0</v>
      </c>
      <c r="H22" s="311">
        <f t="shared" ref="H22:H31" si="21">E22*G22</f>
        <v>0</v>
      </c>
      <c r="I22" s="311">
        <v>1</v>
      </c>
      <c r="J22" s="311">
        <f t="shared" si="1"/>
        <v>0</v>
      </c>
      <c r="K22" s="311">
        <f t="shared" ref="K22:K31" si="22">J22*H22</f>
        <v>0</v>
      </c>
      <c r="L22" s="311"/>
      <c r="M22" s="311">
        <f t="shared" si="3"/>
        <v>0</v>
      </c>
      <c r="N22" s="311">
        <v>0</v>
      </c>
      <c r="O22" s="311">
        <v>1</v>
      </c>
      <c r="P22" s="311">
        <f t="shared" ref="P22:P31" si="23">IF(O22&gt;1,N22*J22,0)</f>
        <v>0</v>
      </c>
      <c r="Q22" s="311">
        <v>0</v>
      </c>
      <c r="R22" s="311">
        <f t="shared" ref="R22:R31" si="24">IF(O22=2,P22*0.155,0)</f>
        <v>0</v>
      </c>
      <c r="S22" s="311">
        <f t="shared" ref="S22:S31" si="25">IF(O22=3,P22*0.05,0)</f>
        <v>0</v>
      </c>
      <c r="T22" s="311">
        <f t="shared" ref="T22:T31" si="26">IF(O22=4,P22*0.1,0)</f>
        <v>0</v>
      </c>
      <c r="U22" s="311"/>
      <c r="V22" s="311" t="str">
        <f t="shared" ref="V22:V31" si="27">IF(U22=0,"",IF(U22=-1,C22,D22))</f>
        <v/>
      </c>
      <c r="W22" s="311" t="str">
        <f t="shared" ref="W22:W31" si="28">IF(IF(U22=0,"",INDEX(tblMedDiscTijden,I22,2))=0,"",IF(U22=0,"",INDEX(tblMedDiscTijden,I22,2)))</f>
        <v/>
      </c>
      <c r="X22" s="311" t="str">
        <f t="shared" si="8"/>
        <v/>
      </c>
      <c r="Y22" s="311" t="str">
        <f t="shared" ref="Y22:Y31" si="29">IF(U22=0,"",TRIM(L22))</f>
        <v/>
      </c>
      <c r="Z22" s="311" t="str">
        <f>IF(P22=0,"","opl: "&amp;N22&amp;" mL "&amp;INDEX(tblMedDiscOplVl,O22,1)&amp;" "&amp;IF(Q22=0,"","("&amp;ROUND(GlobBerMedDisc!H22/GlobBerMedDisc!N22,2)&amp;" "&amp;GlobBerMedDisc!F22&amp;"/ml)"))</f>
        <v/>
      </c>
      <c r="AA22" s="311" t="str">
        <f t="shared" ref="AA22:AA31" si="30">IF(OR(Q22=0,Z22=""),"","in "&amp;Q22&amp;" min")</f>
        <v/>
      </c>
      <c r="AB22" s="311"/>
      <c r="AC22" s="311" t="str">
        <f t="shared" si="14"/>
        <v/>
      </c>
      <c r="AD22" s="311">
        <f t="shared" ref="AD22:AD31" si="31">IF(AE22&gt;=10,0,IF(AE22&gt;=1,1,IF(AE22&gt;=0,2,IF(AE22&gt;=0.1,3,IF(AE22&gt;=0.01,4,5)))))</f>
        <v>2</v>
      </c>
      <c r="AE22" s="311">
        <f t="shared" si="9"/>
        <v>0</v>
      </c>
      <c r="AF22" s="311" t="b">
        <v>0</v>
      </c>
      <c r="AI22">
        <v>0</v>
      </c>
      <c r="AL22" s="311" t="str">
        <f t="shared" si="16"/>
        <v/>
      </c>
      <c r="AM22" s="311" t="str">
        <f t="shared" si="17"/>
        <v/>
      </c>
      <c r="AN22" s="311" t="str">
        <f t="shared" si="18"/>
        <v/>
      </c>
      <c r="AO22" s="311" t="str">
        <f t="shared" si="19"/>
        <v/>
      </c>
      <c r="AP22" s="311" t="str">
        <f t="shared" si="20"/>
        <v/>
      </c>
    </row>
    <row r="23" spans="1:42" x14ac:dyDescent="0.2">
      <c r="A23" s="311">
        <v>22</v>
      </c>
      <c r="B23" s="311"/>
      <c r="C23" s="311"/>
      <c r="D23" s="311"/>
      <c r="E23" s="313">
        <v>0</v>
      </c>
      <c r="F23" s="311"/>
      <c r="G23" s="311">
        <v>0</v>
      </c>
      <c r="H23" s="311">
        <f t="shared" si="21"/>
        <v>0</v>
      </c>
      <c r="I23" s="311">
        <v>1</v>
      </c>
      <c r="J23" s="311">
        <f t="shared" si="1"/>
        <v>0</v>
      </c>
      <c r="K23" s="311">
        <f t="shared" si="22"/>
        <v>0</v>
      </c>
      <c r="L23" s="311"/>
      <c r="M23" s="311">
        <f t="shared" si="3"/>
        <v>0</v>
      </c>
      <c r="N23" s="311">
        <v>0</v>
      </c>
      <c r="O23" s="311">
        <v>1</v>
      </c>
      <c r="P23" s="311">
        <f t="shared" si="23"/>
        <v>0</v>
      </c>
      <c r="Q23" s="311">
        <v>0</v>
      </c>
      <c r="R23" s="311">
        <f t="shared" si="24"/>
        <v>0</v>
      </c>
      <c r="S23" s="311">
        <f t="shared" si="25"/>
        <v>0</v>
      </c>
      <c r="T23" s="311">
        <f t="shared" si="26"/>
        <v>0</v>
      </c>
      <c r="U23" s="311"/>
      <c r="V23" s="311" t="str">
        <f t="shared" si="27"/>
        <v/>
      </c>
      <c r="W23" s="311" t="str">
        <f t="shared" si="28"/>
        <v/>
      </c>
      <c r="X23" s="311" t="str">
        <f t="shared" si="8"/>
        <v/>
      </c>
      <c r="Y23" s="311" t="str">
        <f t="shared" si="29"/>
        <v/>
      </c>
      <c r="Z23" s="311" t="str">
        <f>IF(P23=0,"","opl: "&amp;N23&amp;" mL "&amp;INDEX(tblMedDiscOplVl,O23,1)&amp;" "&amp;IF(Q23=0,"","("&amp;ROUND(GlobBerMedDisc!H23/GlobBerMedDisc!N23,2)&amp;" "&amp;GlobBerMedDisc!F23&amp;"/ml)"))</f>
        <v/>
      </c>
      <c r="AA23" s="311" t="str">
        <f t="shared" si="30"/>
        <v/>
      </c>
      <c r="AB23" s="311"/>
      <c r="AC23" s="311" t="str">
        <f t="shared" si="14"/>
        <v/>
      </c>
      <c r="AD23" s="311">
        <f t="shared" si="31"/>
        <v>2</v>
      </c>
      <c r="AE23" s="311">
        <f t="shared" si="9"/>
        <v>0</v>
      </c>
      <c r="AF23" s="311" t="b">
        <v>0</v>
      </c>
      <c r="AI23">
        <v>0</v>
      </c>
      <c r="AL23" s="311" t="str">
        <f t="shared" si="16"/>
        <v/>
      </c>
      <c r="AM23" s="311" t="str">
        <f t="shared" si="17"/>
        <v/>
      </c>
      <c r="AN23" s="311" t="str">
        <f t="shared" si="18"/>
        <v/>
      </c>
      <c r="AO23" s="311" t="str">
        <f t="shared" si="19"/>
        <v/>
      </c>
      <c r="AP23" s="311" t="str">
        <f t="shared" si="20"/>
        <v/>
      </c>
    </row>
    <row r="24" spans="1:42" x14ac:dyDescent="0.2">
      <c r="A24" s="311">
        <v>23</v>
      </c>
      <c r="B24" s="311"/>
      <c r="C24" s="311"/>
      <c r="D24" s="311"/>
      <c r="E24" s="313">
        <v>0</v>
      </c>
      <c r="F24" s="311"/>
      <c r="G24" s="311">
        <v>0</v>
      </c>
      <c r="H24" s="311">
        <f t="shared" si="21"/>
        <v>0</v>
      </c>
      <c r="I24" s="311">
        <v>1</v>
      </c>
      <c r="J24" s="311">
        <f t="shared" si="1"/>
        <v>0</v>
      </c>
      <c r="K24" s="311">
        <f t="shared" si="22"/>
        <v>0</v>
      </c>
      <c r="L24" s="311"/>
      <c r="M24" s="311">
        <f t="shared" si="3"/>
        <v>0</v>
      </c>
      <c r="N24" s="311">
        <v>0</v>
      </c>
      <c r="O24" s="311">
        <v>1</v>
      </c>
      <c r="P24" s="311">
        <f t="shared" si="23"/>
        <v>0</v>
      </c>
      <c r="Q24" s="311">
        <v>0</v>
      </c>
      <c r="R24" s="311">
        <f t="shared" si="24"/>
        <v>0</v>
      </c>
      <c r="S24" s="311">
        <f t="shared" si="25"/>
        <v>0</v>
      </c>
      <c r="T24" s="311">
        <f t="shared" si="26"/>
        <v>0</v>
      </c>
      <c r="U24" s="311"/>
      <c r="V24" s="311" t="str">
        <f t="shared" si="27"/>
        <v/>
      </c>
      <c r="W24" s="311" t="str">
        <f t="shared" si="28"/>
        <v/>
      </c>
      <c r="X24" s="311" t="str">
        <f t="shared" si="8"/>
        <v/>
      </c>
      <c r="Y24" s="311" t="str">
        <f t="shared" si="29"/>
        <v/>
      </c>
      <c r="Z24" s="311" t="str">
        <f>IF(P24=0,"","opl: "&amp;N24&amp;" mL "&amp;INDEX(tblMedDiscOplVl,O24,1)&amp;" "&amp;IF(Q24=0,"","("&amp;ROUND(GlobBerMedDisc!H24/GlobBerMedDisc!N24,2)&amp;" "&amp;GlobBerMedDisc!F24&amp;"/ml)"))</f>
        <v/>
      </c>
      <c r="AA24" s="311" t="str">
        <f t="shared" si="30"/>
        <v/>
      </c>
      <c r="AB24" s="311"/>
      <c r="AC24" s="311" t="str">
        <f t="shared" si="14"/>
        <v/>
      </c>
      <c r="AD24" s="311">
        <f t="shared" si="31"/>
        <v>2</v>
      </c>
      <c r="AE24" s="311">
        <f t="shared" si="9"/>
        <v>0</v>
      </c>
      <c r="AF24" s="311" t="b">
        <v>0</v>
      </c>
      <c r="AI24">
        <v>0</v>
      </c>
      <c r="AL24" s="311" t="str">
        <f t="shared" si="16"/>
        <v/>
      </c>
      <c r="AM24" s="311" t="str">
        <f t="shared" si="17"/>
        <v/>
      </c>
      <c r="AN24" s="311" t="str">
        <f t="shared" si="18"/>
        <v/>
      </c>
      <c r="AO24" s="311" t="str">
        <f t="shared" si="19"/>
        <v/>
      </c>
      <c r="AP24" s="311" t="str">
        <f t="shared" si="20"/>
        <v/>
      </c>
    </row>
    <row r="25" spans="1:42" x14ac:dyDescent="0.2">
      <c r="A25" s="311">
        <v>24</v>
      </c>
      <c r="B25" s="311"/>
      <c r="C25" s="311"/>
      <c r="D25" s="311"/>
      <c r="E25" s="313">
        <v>0</v>
      </c>
      <c r="F25" s="311"/>
      <c r="G25" s="311">
        <v>0</v>
      </c>
      <c r="H25" s="311">
        <f t="shared" si="21"/>
        <v>0</v>
      </c>
      <c r="I25" s="311">
        <v>1</v>
      </c>
      <c r="J25" s="311">
        <f t="shared" si="1"/>
        <v>0</v>
      </c>
      <c r="K25" s="311">
        <f t="shared" si="22"/>
        <v>0</v>
      </c>
      <c r="L25" s="311"/>
      <c r="M25" s="311">
        <f t="shared" si="3"/>
        <v>0</v>
      </c>
      <c r="N25" s="311">
        <v>0</v>
      </c>
      <c r="O25" s="311">
        <v>1</v>
      </c>
      <c r="P25" s="311">
        <f t="shared" si="23"/>
        <v>0</v>
      </c>
      <c r="Q25" s="311">
        <v>0</v>
      </c>
      <c r="R25" s="311">
        <f t="shared" si="24"/>
        <v>0</v>
      </c>
      <c r="S25" s="311">
        <f t="shared" si="25"/>
        <v>0</v>
      </c>
      <c r="T25" s="311">
        <f t="shared" si="26"/>
        <v>0</v>
      </c>
      <c r="U25" s="311"/>
      <c r="V25" s="311" t="str">
        <f t="shared" si="27"/>
        <v/>
      </c>
      <c r="W25" s="311" t="str">
        <f t="shared" si="28"/>
        <v/>
      </c>
      <c r="X25" s="311" t="str">
        <f t="shared" si="8"/>
        <v/>
      </c>
      <c r="Y25" s="311" t="str">
        <f t="shared" si="29"/>
        <v/>
      </c>
      <c r="Z25" s="311" t="str">
        <f>IF(P25=0,"","opl: "&amp;N25&amp;" mL "&amp;INDEX(tblMedDiscOplVl,O25,1)&amp;" "&amp;IF(Q25=0,"","("&amp;ROUND(GlobBerMedDisc!H25/GlobBerMedDisc!N25,2)&amp;" "&amp;GlobBerMedDisc!F25&amp;"/ml)"))</f>
        <v/>
      </c>
      <c r="AA25" s="311" t="str">
        <f t="shared" si="30"/>
        <v/>
      </c>
      <c r="AB25" s="311"/>
      <c r="AC25" s="311" t="str">
        <f t="shared" si="14"/>
        <v/>
      </c>
      <c r="AD25" s="311">
        <f t="shared" si="31"/>
        <v>2</v>
      </c>
      <c r="AE25" s="311">
        <f t="shared" si="9"/>
        <v>0</v>
      </c>
      <c r="AF25" s="311" t="b">
        <v>0</v>
      </c>
      <c r="AI25">
        <v>0</v>
      </c>
      <c r="AL25" s="311" t="str">
        <f t="shared" si="16"/>
        <v/>
      </c>
      <c r="AM25" s="311" t="str">
        <f t="shared" si="17"/>
        <v/>
      </c>
      <c r="AN25" s="311" t="str">
        <f t="shared" si="18"/>
        <v/>
      </c>
      <c r="AO25" s="311" t="str">
        <f t="shared" si="19"/>
        <v/>
      </c>
      <c r="AP25" s="311" t="str">
        <f t="shared" si="20"/>
        <v/>
      </c>
    </row>
    <row r="26" spans="1:42" x14ac:dyDescent="0.2">
      <c r="A26" s="311">
        <v>25</v>
      </c>
      <c r="B26" s="311"/>
      <c r="C26" s="311"/>
      <c r="D26" s="311"/>
      <c r="E26" s="313">
        <v>0</v>
      </c>
      <c r="F26" s="311"/>
      <c r="G26" s="311">
        <v>0</v>
      </c>
      <c r="H26" s="311">
        <f t="shared" si="21"/>
        <v>0</v>
      </c>
      <c r="I26" s="311">
        <v>1</v>
      </c>
      <c r="J26" s="311">
        <f t="shared" si="1"/>
        <v>0</v>
      </c>
      <c r="K26" s="311">
        <f t="shared" si="22"/>
        <v>0</v>
      </c>
      <c r="L26" s="311"/>
      <c r="M26" s="311">
        <f t="shared" si="3"/>
        <v>0</v>
      </c>
      <c r="N26" s="311">
        <v>0</v>
      </c>
      <c r="O26" s="311">
        <v>1</v>
      </c>
      <c r="P26" s="311">
        <f t="shared" si="23"/>
        <v>0</v>
      </c>
      <c r="Q26" s="311">
        <v>0</v>
      </c>
      <c r="R26" s="311">
        <f t="shared" si="24"/>
        <v>0</v>
      </c>
      <c r="S26" s="311">
        <f t="shared" si="25"/>
        <v>0</v>
      </c>
      <c r="T26" s="311">
        <f t="shared" si="26"/>
        <v>0</v>
      </c>
      <c r="U26" s="311"/>
      <c r="V26" s="311" t="str">
        <f t="shared" si="27"/>
        <v/>
      </c>
      <c r="W26" s="311" t="str">
        <f t="shared" si="28"/>
        <v/>
      </c>
      <c r="X26" s="311" t="str">
        <f t="shared" si="8"/>
        <v/>
      </c>
      <c r="Y26" s="311" t="str">
        <f t="shared" si="29"/>
        <v/>
      </c>
      <c r="Z26" s="311" t="str">
        <f>IF(P26=0,"","opl: "&amp;N26&amp;" mL "&amp;INDEX(tblMedDiscOplVl,O26,1)&amp;" "&amp;IF(Q26=0,"","("&amp;ROUND(GlobBerMedDisc!H26/GlobBerMedDisc!N26,2)&amp;" "&amp;GlobBerMedDisc!F26&amp;"/ml)"))</f>
        <v/>
      </c>
      <c r="AA26" s="311" t="str">
        <f t="shared" si="30"/>
        <v/>
      </c>
      <c r="AB26" s="311"/>
      <c r="AC26" s="311" t="str">
        <f t="shared" si="14"/>
        <v/>
      </c>
      <c r="AD26" s="311">
        <f t="shared" si="31"/>
        <v>2</v>
      </c>
      <c r="AE26" s="311">
        <f t="shared" si="9"/>
        <v>0</v>
      </c>
      <c r="AF26" s="311" t="b">
        <v>0</v>
      </c>
      <c r="AI26">
        <v>0</v>
      </c>
      <c r="AL26" s="311" t="str">
        <f t="shared" si="16"/>
        <v/>
      </c>
      <c r="AM26" s="311" t="str">
        <f t="shared" si="17"/>
        <v/>
      </c>
      <c r="AN26" s="311" t="str">
        <f t="shared" si="18"/>
        <v/>
      </c>
      <c r="AO26" s="311" t="str">
        <f t="shared" si="19"/>
        <v/>
      </c>
      <c r="AP26" s="311" t="str">
        <f t="shared" si="20"/>
        <v/>
      </c>
    </row>
    <row r="27" spans="1:42" x14ac:dyDescent="0.2">
      <c r="A27" s="311">
        <v>26</v>
      </c>
      <c r="B27" s="311"/>
      <c r="C27" s="311"/>
      <c r="D27" s="311"/>
      <c r="E27" s="313">
        <v>0</v>
      </c>
      <c r="F27" s="311"/>
      <c r="G27" s="311">
        <v>0</v>
      </c>
      <c r="H27" s="311">
        <f t="shared" si="21"/>
        <v>0</v>
      </c>
      <c r="I27" s="311">
        <v>1</v>
      </c>
      <c r="J27" s="311">
        <f t="shared" si="1"/>
        <v>0</v>
      </c>
      <c r="K27" s="311">
        <f t="shared" si="22"/>
        <v>0</v>
      </c>
      <c r="L27" s="311"/>
      <c r="M27" s="311">
        <f t="shared" si="3"/>
        <v>0</v>
      </c>
      <c r="N27" s="311">
        <v>0</v>
      </c>
      <c r="O27" s="311">
        <v>1</v>
      </c>
      <c r="P27" s="311">
        <f t="shared" si="23"/>
        <v>0</v>
      </c>
      <c r="Q27" s="311">
        <v>0</v>
      </c>
      <c r="R27" s="311">
        <f t="shared" si="24"/>
        <v>0</v>
      </c>
      <c r="S27" s="311">
        <f t="shared" si="25"/>
        <v>0</v>
      </c>
      <c r="T27" s="311">
        <f t="shared" si="26"/>
        <v>0</v>
      </c>
      <c r="U27" s="311"/>
      <c r="V27" s="311" t="str">
        <f t="shared" si="27"/>
        <v/>
      </c>
      <c r="W27" s="311" t="str">
        <f t="shared" si="28"/>
        <v/>
      </c>
      <c r="X27" s="311" t="str">
        <f t="shared" si="8"/>
        <v/>
      </c>
      <c r="Y27" s="311" t="str">
        <f t="shared" si="29"/>
        <v/>
      </c>
      <c r="Z27" s="311" t="str">
        <f>IF(P27=0,"","opl: "&amp;N27&amp;" mL "&amp;INDEX(tblMedDiscOplVl,O27,1)&amp;" "&amp;IF(Q27=0,"","("&amp;ROUND(GlobBerMedDisc!H27/GlobBerMedDisc!N27,2)&amp;" "&amp;GlobBerMedDisc!F27&amp;"/ml)"))</f>
        <v/>
      </c>
      <c r="AA27" s="311" t="str">
        <f t="shared" si="30"/>
        <v/>
      </c>
      <c r="AB27" s="311"/>
      <c r="AC27" s="311" t="str">
        <f t="shared" si="14"/>
        <v/>
      </c>
      <c r="AD27" s="311">
        <f t="shared" si="31"/>
        <v>2</v>
      </c>
      <c r="AE27" s="311">
        <f t="shared" si="9"/>
        <v>0</v>
      </c>
      <c r="AF27" s="311" t="b">
        <v>0</v>
      </c>
      <c r="AI27">
        <v>0</v>
      </c>
      <c r="AL27" s="311" t="str">
        <f t="shared" si="16"/>
        <v/>
      </c>
      <c r="AM27" s="311" t="str">
        <f t="shared" si="17"/>
        <v/>
      </c>
      <c r="AN27" s="311" t="str">
        <f t="shared" si="18"/>
        <v/>
      </c>
      <c r="AO27" s="311" t="str">
        <f t="shared" si="19"/>
        <v/>
      </c>
      <c r="AP27" s="311" t="str">
        <f t="shared" si="20"/>
        <v/>
      </c>
    </row>
    <row r="28" spans="1:42" x14ac:dyDescent="0.2">
      <c r="A28" s="311">
        <v>27</v>
      </c>
      <c r="B28" s="311"/>
      <c r="C28" s="311"/>
      <c r="D28" s="311"/>
      <c r="E28" s="313">
        <v>0</v>
      </c>
      <c r="F28" s="311"/>
      <c r="G28" s="311">
        <v>0</v>
      </c>
      <c r="H28" s="311">
        <f t="shared" si="21"/>
        <v>0</v>
      </c>
      <c r="I28" s="311">
        <v>1</v>
      </c>
      <c r="J28" s="311">
        <f t="shared" si="1"/>
        <v>0</v>
      </c>
      <c r="K28" s="311">
        <f t="shared" si="22"/>
        <v>0</v>
      </c>
      <c r="L28" s="311"/>
      <c r="M28" s="311">
        <f t="shared" si="3"/>
        <v>0</v>
      </c>
      <c r="N28" s="311">
        <v>0</v>
      </c>
      <c r="O28" s="311">
        <v>1</v>
      </c>
      <c r="P28" s="311">
        <f t="shared" si="23"/>
        <v>0</v>
      </c>
      <c r="Q28" s="311">
        <v>0</v>
      </c>
      <c r="R28" s="311">
        <f t="shared" si="24"/>
        <v>0</v>
      </c>
      <c r="S28" s="311">
        <f t="shared" si="25"/>
        <v>0</v>
      </c>
      <c r="T28" s="311">
        <f t="shared" si="26"/>
        <v>0</v>
      </c>
      <c r="U28" s="311"/>
      <c r="V28" s="311" t="str">
        <f t="shared" si="27"/>
        <v/>
      </c>
      <c r="W28" s="311" t="str">
        <f t="shared" si="28"/>
        <v/>
      </c>
      <c r="X28" s="311" t="str">
        <f t="shared" si="8"/>
        <v/>
      </c>
      <c r="Y28" s="311" t="str">
        <f t="shared" si="29"/>
        <v/>
      </c>
      <c r="Z28" s="311" t="str">
        <f>IF(P28=0,"","opl: "&amp;N28&amp;" mL "&amp;INDEX(tblMedDiscOplVl,O28,1)&amp;" "&amp;IF(Q28=0,"","("&amp;ROUND(GlobBerMedDisc!H28/GlobBerMedDisc!N28,2)&amp;" "&amp;GlobBerMedDisc!F28&amp;"/ml)"))</f>
        <v/>
      </c>
      <c r="AA28" s="311" t="str">
        <f t="shared" si="30"/>
        <v/>
      </c>
      <c r="AB28" s="311"/>
      <c r="AC28" s="311" t="str">
        <f t="shared" si="14"/>
        <v/>
      </c>
      <c r="AD28" s="311">
        <f t="shared" si="31"/>
        <v>2</v>
      </c>
      <c r="AE28" s="311">
        <f t="shared" si="9"/>
        <v>0</v>
      </c>
      <c r="AF28" s="311" t="b">
        <v>0</v>
      </c>
      <c r="AI28">
        <v>0</v>
      </c>
      <c r="AL28" s="311" t="str">
        <f t="shared" si="16"/>
        <v/>
      </c>
      <c r="AM28" s="311" t="str">
        <f t="shared" si="17"/>
        <v/>
      </c>
      <c r="AN28" s="311" t="str">
        <f t="shared" si="18"/>
        <v/>
      </c>
      <c r="AO28" s="311" t="str">
        <f t="shared" si="19"/>
        <v/>
      </c>
      <c r="AP28" s="311" t="str">
        <f t="shared" si="20"/>
        <v/>
      </c>
    </row>
    <row r="29" spans="1:42" x14ac:dyDescent="0.2">
      <c r="A29" s="311">
        <v>28</v>
      </c>
      <c r="B29" s="311"/>
      <c r="C29" s="311"/>
      <c r="D29" s="311"/>
      <c r="E29" s="313">
        <v>0</v>
      </c>
      <c r="F29" s="311"/>
      <c r="G29" s="311">
        <v>0</v>
      </c>
      <c r="H29" s="311">
        <f t="shared" si="21"/>
        <v>0</v>
      </c>
      <c r="I29" s="311">
        <v>1</v>
      </c>
      <c r="J29" s="311">
        <f t="shared" si="1"/>
        <v>0</v>
      </c>
      <c r="K29" s="311">
        <f t="shared" si="22"/>
        <v>0</v>
      </c>
      <c r="L29" s="311"/>
      <c r="M29" s="311">
        <f t="shared" si="3"/>
        <v>0</v>
      </c>
      <c r="N29" s="311">
        <v>0</v>
      </c>
      <c r="O29" s="311">
        <v>1</v>
      </c>
      <c r="P29" s="311">
        <f t="shared" si="23"/>
        <v>0</v>
      </c>
      <c r="Q29" s="311">
        <v>0</v>
      </c>
      <c r="R29" s="311">
        <f t="shared" si="24"/>
        <v>0</v>
      </c>
      <c r="S29" s="311">
        <f t="shared" si="25"/>
        <v>0</v>
      </c>
      <c r="T29" s="311">
        <f t="shared" si="26"/>
        <v>0</v>
      </c>
      <c r="U29" s="311"/>
      <c r="V29" s="311" t="str">
        <f t="shared" si="27"/>
        <v/>
      </c>
      <c r="W29" s="311" t="str">
        <f t="shared" si="28"/>
        <v/>
      </c>
      <c r="X29" s="311" t="str">
        <f t="shared" si="8"/>
        <v/>
      </c>
      <c r="Y29" s="311" t="str">
        <f t="shared" si="29"/>
        <v/>
      </c>
      <c r="Z29" s="311" t="str">
        <f>IF(P29=0,"","opl: "&amp;N29&amp;" mL "&amp;INDEX(tblMedDiscOplVl,O29,1)&amp;" "&amp;IF(Q29=0,"","("&amp;ROUND(GlobBerMedDisc!H29/GlobBerMedDisc!N29,2)&amp;" "&amp;GlobBerMedDisc!F29&amp;"/ml)"))</f>
        <v/>
      </c>
      <c r="AA29" s="311" t="str">
        <f t="shared" si="30"/>
        <v/>
      </c>
      <c r="AB29" s="311"/>
      <c r="AC29" s="311" t="str">
        <f t="shared" si="14"/>
        <v/>
      </c>
      <c r="AD29" s="311">
        <f t="shared" si="31"/>
        <v>2</v>
      </c>
      <c r="AE29" s="311">
        <f t="shared" si="9"/>
        <v>0</v>
      </c>
      <c r="AF29" s="311" t="b">
        <v>0</v>
      </c>
      <c r="AI29">
        <v>0</v>
      </c>
      <c r="AL29" s="311" t="str">
        <f t="shared" si="16"/>
        <v/>
      </c>
      <c r="AM29" s="311" t="str">
        <f t="shared" si="17"/>
        <v/>
      </c>
      <c r="AN29" s="311" t="str">
        <f t="shared" si="18"/>
        <v/>
      </c>
      <c r="AO29" s="311" t="str">
        <f t="shared" si="19"/>
        <v/>
      </c>
      <c r="AP29" s="311" t="str">
        <f t="shared" si="20"/>
        <v/>
      </c>
    </row>
    <row r="30" spans="1:42" x14ac:dyDescent="0.2">
      <c r="A30" s="311">
        <v>29</v>
      </c>
      <c r="B30" s="311"/>
      <c r="C30" s="311"/>
      <c r="D30" s="311"/>
      <c r="E30" s="313">
        <v>0</v>
      </c>
      <c r="F30" s="311"/>
      <c r="G30" s="311">
        <v>0</v>
      </c>
      <c r="H30" s="311">
        <f t="shared" si="21"/>
        <v>0</v>
      </c>
      <c r="I30" s="311">
        <v>1</v>
      </c>
      <c r="J30" s="311">
        <f t="shared" si="1"/>
        <v>0</v>
      </c>
      <c r="K30" s="311">
        <f t="shared" si="22"/>
        <v>0</v>
      </c>
      <c r="L30" s="311"/>
      <c r="M30" s="311">
        <f t="shared" si="3"/>
        <v>0</v>
      </c>
      <c r="N30" s="311">
        <v>0</v>
      </c>
      <c r="O30" s="311">
        <v>1</v>
      </c>
      <c r="P30" s="311">
        <f t="shared" si="23"/>
        <v>0</v>
      </c>
      <c r="Q30" s="311">
        <v>0</v>
      </c>
      <c r="R30" s="311">
        <f t="shared" si="24"/>
        <v>0</v>
      </c>
      <c r="S30" s="311">
        <f t="shared" si="25"/>
        <v>0</v>
      </c>
      <c r="T30" s="311">
        <f t="shared" si="26"/>
        <v>0</v>
      </c>
      <c r="U30" s="311"/>
      <c r="V30" s="311" t="str">
        <f t="shared" si="27"/>
        <v/>
      </c>
      <c r="W30" s="311" t="str">
        <f t="shared" si="28"/>
        <v/>
      </c>
      <c r="X30" s="311" t="str">
        <f t="shared" si="8"/>
        <v/>
      </c>
      <c r="Y30" s="311" t="str">
        <f t="shared" si="29"/>
        <v/>
      </c>
      <c r="Z30" s="311" t="str">
        <f>IF(P30=0,"","opl: "&amp;N30&amp;" mL "&amp;INDEX(tblMedDiscOplVl,O30,1)&amp;" "&amp;IF(Q30=0,"","("&amp;ROUND(GlobBerMedDisc!H30/GlobBerMedDisc!N30,2)&amp;" "&amp;GlobBerMedDisc!F30&amp;"/ml)"))</f>
        <v/>
      </c>
      <c r="AA30" s="311" t="str">
        <f t="shared" si="30"/>
        <v/>
      </c>
      <c r="AB30" s="311"/>
      <c r="AC30" s="311" t="str">
        <f t="shared" si="14"/>
        <v/>
      </c>
      <c r="AD30" s="311">
        <f t="shared" si="31"/>
        <v>2</v>
      </c>
      <c r="AE30" s="311">
        <f t="shared" si="9"/>
        <v>0</v>
      </c>
      <c r="AF30" s="311" t="b">
        <v>0</v>
      </c>
      <c r="AI30">
        <v>0</v>
      </c>
      <c r="AL30" s="311" t="str">
        <f t="shared" si="16"/>
        <v/>
      </c>
      <c r="AM30" s="311" t="str">
        <f t="shared" si="17"/>
        <v/>
      </c>
      <c r="AN30" s="311" t="str">
        <f t="shared" si="18"/>
        <v/>
      </c>
      <c r="AO30" s="311" t="str">
        <f t="shared" si="19"/>
        <v/>
      </c>
      <c r="AP30" s="311" t="str">
        <f t="shared" si="20"/>
        <v/>
      </c>
    </row>
    <row r="31" spans="1:42" x14ac:dyDescent="0.2">
      <c r="A31" s="311">
        <v>30</v>
      </c>
      <c r="B31" s="311"/>
      <c r="C31" s="311"/>
      <c r="D31" s="311"/>
      <c r="E31" s="313">
        <v>0</v>
      </c>
      <c r="F31" s="311"/>
      <c r="G31" s="311">
        <v>0</v>
      </c>
      <c r="H31" s="311">
        <f t="shared" si="21"/>
        <v>0</v>
      </c>
      <c r="I31" s="311">
        <v>1</v>
      </c>
      <c r="J31" s="311">
        <f t="shared" si="1"/>
        <v>0</v>
      </c>
      <c r="K31" s="311">
        <f t="shared" si="22"/>
        <v>0</v>
      </c>
      <c r="L31" s="311"/>
      <c r="M31" s="311">
        <f t="shared" si="3"/>
        <v>0</v>
      </c>
      <c r="N31" s="311">
        <v>0</v>
      </c>
      <c r="O31" s="311">
        <v>1</v>
      </c>
      <c r="P31" s="311">
        <f t="shared" si="23"/>
        <v>0</v>
      </c>
      <c r="Q31" s="311">
        <v>0</v>
      </c>
      <c r="R31" s="311">
        <f t="shared" si="24"/>
        <v>0</v>
      </c>
      <c r="S31" s="311">
        <f t="shared" si="25"/>
        <v>0</v>
      </c>
      <c r="T31" s="311">
        <f t="shared" si="26"/>
        <v>0</v>
      </c>
      <c r="U31" s="311"/>
      <c r="V31" s="311" t="str">
        <f t="shared" si="27"/>
        <v/>
      </c>
      <c r="W31" s="311" t="str">
        <f t="shared" si="28"/>
        <v/>
      </c>
      <c r="X31" s="311" t="str">
        <f t="shared" si="8"/>
        <v/>
      </c>
      <c r="Y31" s="311" t="str">
        <f t="shared" si="29"/>
        <v/>
      </c>
      <c r="Z31" s="311" t="str">
        <f>IF(P31=0,"","opl: "&amp;N31&amp;" mL "&amp;INDEX(tblMedDiscOplVl,O31,1)&amp;" "&amp;IF(Q31=0,"","("&amp;ROUND(GlobBerMedDisc!H31/GlobBerMedDisc!N31,2)&amp;" "&amp;GlobBerMedDisc!F31&amp;"/ml)"))</f>
        <v/>
      </c>
      <c r="AA31" s="311" t="str">
        <f t="shared" si="30"/>
        <v/>
      </c>
      <c r="AB31" s="311"/>
      <c r="AC31" s="311" t="str">
        <f t="shared" si="14"/>
        <v/>
      </c>
      <c r="AD31" s="311">
        <f t="shared" si="31"/>
        <v>2</v>
      </c>
      <c r="AE31" s="311">
        <f t="shared" si="9"/>
        <v>0</v>
      </c>
      <c r="AF31" s="311" t="b">
        <v>0</v>
      </c>
      <c r="AI31">
        <v>0</v>
      </c>
      <c r="AL31" s="311" t="str">
        <f t="shared" si="16"/>
        <v/>
      </c>
      <c r="AM31" s="311" t="str">
        <f t="shared" si="17"/>
        <v/>
      </c>
      <c r="AN31" s="311" t="str">
        <f t="shared" si="18"/>
        <v/>
      </c>
      <c r="AO31" s="311" t="str">
        <f t="shared" si="19"/>
        <v/>
      </c>
      <c r="AP31" s="311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12" t="s">
        <v>215</v>
      </c>
    </row>
    <row r="40" spans="2:19" x14ac:dyDescent="0.2">
      <c r="D40" s="312"/>
    </row>
    <row r="41" spans="2:19" x14ac:dyDescent="0.2">
      <c r="D41" s="31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65"/>
  <sheetViews>
    <sheetView workbookViewId="0">
      <selection activeCell="B13" sqref="B1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14.5703125" customWidth="1"/>
  </cols>
  <sheetData>
    <row r="1" spans="1:18" s="311" customFormat="1" x14ac:dyDescent="0.2">
      <c r="A1" s="312" t="s">
        <v>1032</v>
      </c>
      <c r="B1" s="312" t="s">
        <v>1033</v>
      </c>
      <c r="D1" s="312" t="s">
        <v>3325</v>
      </c>
      <c r="E1" s="312" t="s">
        <v>1023</v>
      </c>
      <c r="G1" s="316"/>
      <c r="H1" s="312" t="s">
        <v>3325</v>
      </c>
      <c r="I1" s="312" t="s">
        <v>1023</v>
      </c>
      <c r="K1" s="312" t="s">
        <v>4351</v>
      </c>
      <c r="L1" s="312" t="s">
        <v>4352</v>
      </c>
      <c r="M1" s="312" t="s">
        <v>155</v>
      </c>
      <c r="P1" s="316" t="s">
        <v>4353</v>
      </c>
    </row>
    <row r="2" spans="1:18" x14ac:dyDescent="0.2">
      <c r="A2" s="312" t="s">
        <v>1019</v>
      </c>
      <c r="B2" t="b">
        <v>1</v>
      </c>
      <c r="D2" s="311" t="s">
        <v>3326</v>
      </c>
      <c r="E2" s="312" t="s">
        <v>3344</v>
      </c>
      <c r="G2" s="312" t="s">
        <v>4348</v>
      </c>
      <c r="H2" s="562" t="s">
        <v>4341</v>
      </c>
      <c r="I2" s="562" t="s">
        <v>4341</v>
      </c>
      <c r="K2" s="312" t="s">
        <v>4354</v>
      </c>
      <c r="L2" s="312"/>
      <c r="M2" s="312"/>
      <c r="N2" s="311"/>
      <c r="O2" s="311"/>
      <c r="P2" s="148"/>
      <c r="Q2" s="148"/>
      <c r="R2" s="148"/>
    </row>
    <row r="3" spans="1:18" x14ac:dyDescent="0.2">
      <c r="A3" s="312" t="s">
        <v>1020</v>
      </c>
      <c r="B3" t="b">
        <v>1</v>
      </c>
      <c r="D3" s="311" t="s">
        <v>3327</v>
      </c>
      <c r="E3" s="312" t="s">
        <v>3345</v>
      </c>
      <c r="G3" s="312" t="s">
        <v>4345</v>
      </c>
      <c r="H3" s="640" t="s">
        <v>4345</v>
      </c>
      <c r="I3" s="569" t="s">
        <v>4345</v>
      </c>
      <c r="K3" s="312" t="s">
        <v>4354</v>
      </c>
      <c r="L3" s="312" t="s">
        <v>4345</v>
      </c>
      <c r="M3" s="311" t="e">
        <f>P3:R3</f>
        <v>#VALUE!</v>
      </c>
      <c r="N3" s="311"/>
      <c r="O3" s="311"/>
      <c r="P3" s="570" t="s">
        <v>4353</v>
      </c>
      <c r="Q3" s="571" t="s">
        <v>4345</v>
      </c>
      <c r="R3" s="572"/>
    </row>
    <row r="4" spans="1:18" x14ac:dyDescent="0.2">
      <c r="A4" s="312" t="s">
        <v>1021</v>
      </c>
      <c r="B4" s="312" t="s">
        <v>1023</v>
      </c>
      <c r="C4" s="311"/>
      <c r="D4" s="311" t="s">
        <v>3328</v>
      </c>
      <c r="E4" s="312" t="s">
        <v>3346</v>
      </c>
      <c r="G4" s="312" t="s">
        <v>4344</v>
      </c>
      <c r="H4" s="563" t="s">
        <v>4344</v>
      </c>
      <c r="I4" s="563" t="s">
        <v>4344</v>
      </c>
      <c r="K4" s="312" t="s">
        <v>4354</v>
      </c>
      <c r="L4" s="312" t="s">
        <v>4344</v>
      </c>
      <c r="M4" s="311" t="e">
        <f t="shared" ref="M4:M9" si="0">P4:R4</f>
        <v>#VALUE!</v>
      </c>
      <c r="N4" s="311"/>
      <c r="O4" s="311"/>
      <c r="P4" s="593" t="s">
        <v>4353</v>
      </c>
      <c r="Q4" s="593" t="s">
        <v>4344</v>
      </c>
      <c r="R4" s="593"/>
    </row>
    <row r="5" spans="1:18" x14ac:dyDescent="0.2">
      <c r="A5" s="312" t="s">
        <v>1022</v>
      </c>
      <c r="B5" s="312" t="s">
        <v>1024</v>
      </c>
      <c r="C5" s="311"/>
      <c r="D5" s="311" t="s">
        <v>3329</v>
      </c>
      <c r="E5" s="312" t="s">
        <v>3347</v>
      </c>
      <c r="G5" s="312" t="s">
        <v>4342</v>
      </c>
      <c r="H5" s="564" t="s">
        <v>4342</v>
      </c>
      <c r="I5" s="564" t="s">
        <v>4342</v>
      </c>
      <c r="K5" s="312" t="s">
        <v>4354</v>
      </c>
      <c r="L5" s="312" t="s">
        <v>4342</v>
      </c>
      <c r="M5" s="311" t="e">
        <f t="shared" si="0"/>
        <v>#VALUE!</v>
      </c>
      <c r="N5" s="311"/>
      <c r="O5" s="311"/>
      <c r="P5" s="631" t="s">
        <v>4353</v>
      </c>
      <c r="Q5" s="631" t="s">
        <v>4342</v>
      </c>
      <c r="R5" s="631"/>
    </row>
    <row r="6" spans="1:18" x14ac:dyDescent="0.2">
      <c r="A6" s="312" t="s">
        <v>1025</v>
      </c>
      <c r="B6" s="312" t="s">
        <v>4353</v>
      </c>
      <c r="C6" s="311"/>
      <c r="D6" s="311" t="s">
        <v>3330</v>
      </c>
      <c r="E6" s="312" t="s">
        <v>3348</v>
      </c>
      <c r="G6" s="312" t="s">
        <v>4343</v>
      </c>
      <c r="H6" s="565" t="s">
        <v>4343</v>
      </c>
      <c r="I6" s="565" t="s">
        <v>4343</v>
      </c>
      <c r="K6" s="312" t="s">
        <v>4354</v>
      </c>
      <c r="L6" s="312" t="s">
        <v>4343</v>
      </c>
      <c r="M6" s="311" t="e">
        <f t="shared" si="0"/>
        <v>#VALUE!</v>
      </c>
      <c r="N6" s="311"/>
      <c r="O6" s="311"/>
      <c r="P6" s="632" t="s">
        <v>4353</v>
      </c>
      <c r="Q6" s="632" t="s">
        <v>4343</v>
      </c>
      <c r="R6" s="632"/>
    </row>
    <row r="7" spans="1:18" x14ac:dyDescent="0.2">
      <c r="A7" s="312" t="s">
        <v>1026</v>
      </c>
      <c r="B7" t="s">
        <v>1027</v>
      </c>
      <c r="C7" s="311"/>
      <c r="D7" s="311" t="s">
        <v>3331</v>
      </c>
      <c r="E7" s="312" t="s">
        <v>3349</v>
      </c>
      <c r="G7" s="312" t="s">
        <v>4346</v>
      </c>
      <c r="H7" s="566" t="s">
        <v>4346</v>
      </c>
      <c r="I7" s="566" t="s">
        <v>4346</v>
      </c>
      <c r="K7" s="312" t="s">
        <v>4354</v>
      </c>
      <c r="L7" s="312" t="s">
        <v>4346</v>
      </c>
      <c r="M7" s="311" t="e">
        <f t="shared" si="0"/>
        <v>#VALUE!</v>
      </c>
      <c r="N7" s="311"/>
      <c r="O7" s="311"/>
      <c r="P7" s="633" t="s">
        <v>4353</v>
      </c>
      <c r="Q7" s="633" t="s">
        <v>4346</v>
      </c>
      <c r="R7" s="633"/>
    </row>
    <row r="8" spans="1:18" x14ac:dyDescent="0.2">
      <c r="A8" s="312" t="s">
        <v>1028</v>
      </c>
      <c r="B8" s="312" t="s">
        <v>1029</v>
      </c>
      <c r="C8" s="311"/>
      <c r="D8" s="311" t="s">
        <v>3332</v>
      </c>
      <c r="E8" s="312" t="s">
        <v>3350</v>
      </c>
      <c r="G8" s="312" t="s">
        <v>4349</v>
      </c>
      <c r="H8" s="567" t="s">
        <v>115</v>
      </c>
      <c r="I8" s="567" t="s">
        <v>115</v>
      </c>
      <c r="K8" s="312" t="s">
        <v>4354</v>
      </c>
      <c r="L8" s="312" t="s">
        <v>4349</v>
      </c>
      <c r="M8" s="311" t="e">
        <f t="shared" si="0"/>
        <v>#VALUE!</v>
      </c>
      <c r="N8" s="311"/>
      <c r="O8" s="311"/>
      <c r="P8" s="634" t="s">
        <v>4353</v>
      </c>
      <c r="Q8" s="634" t="s">
        <v>4349</v>
      </c>
      <c r="R8" s="634"/>
    </row>
    <row r="9" spans="1:18" x14ac:dyDescent="0.2">
      <c r="A9" s="312" t="s">
        <v>1030</v>
      </c>
      <c r="B9" t="s">
        <v>1031</v>
      </c>
      <c r="C9" s="311"/>
      <c r="D9" s="311" t="s">
        <v>3333</v>
      </c>
      <c r="E9" s="312" t="s">
        <v>3351</v>
      </c>
      <c r="G9" s="312" t="s">
        <v>4347</v>
      </c>
      <c r="H9" s="568" t="s">
        <v>4347</v>
      </c>
      <c r="I9" s="568" t="s">
        <v>4347</v>
      </c>
      <c r="K9" s="312" t="s">
        <v>4354</v>
      </c>
      <c r="L9" s="312" t="s">
        <v>4347</v>
      </c>
      <c r="M9" s="311" t="e">
        <f t="shared" si="0"/>
        <v>#VALUE!</v>
      </c>
      <c r="N9" s="311"/>
      <c r="O9" s="311"/>
      <c r="P9" s="635" t="s">
        <v>4353</v>
      </c>
      <c r="Q9" s="635" t="s">
        <v>4347</v>
      </c>
      <c r="R9" s="635"/>
    </row>
    <row r="10" spans="1:18" x14ac:dyDescent="0.2">
      <c r="A10" s="312" t="s">
        <v>1034</v>
      </c>
      <c r="B10" s="312" t="s">
        <v>1035</v>
      </c>
      <c r="C10" s="311"/>
      <c r="D10" s="311" t="s">
        <v>3334</v>
      </c>
      <c r="E10" s="312" t="s">
        <v>3352</v>
      </c>
      <c r="K10" s="312" t="s">
        <v>4350</v>
      </c>
      <c r="L10" s="312" t="s">
        <v>4348</v>
      </c>
      <c r="M10" s="311">
        <f>PedGuiMedIV!A1</f>
        <v>0</v>
      </c>
      <c r="P10" s="148"/>
      <c r="Q10" s="148"/>
      <c r="R10" s="148"/>
    </row>
    <row r="11" spans="1:18" x14ac:dyDescent="0.2">
      <c r="C11" s="311"/>
      <c r="D11" s="311" t="s">
        <v>3335</v>
      </c>
      <c r="E11" s="312" t="s">
        <v>3353</v>
      </c>
      <c r="K11" s="312" t="s">
        <v>4350</v>
      </c>
      <c r="L11" s="312" t="s">
        <v>4345</v>
      </c>
      <c r="M11" s="319" t="e">
        <f>PedGuiMedIV!E9:N23,PedGuiMedIV!E25:N29,PedGuiMedIV!F37</f>
        <v>#VALUE!</v>
      </c>
      <c r="P11" s="148"/>
      <c r="Q11" s="148"/>
      <c r="R11" s="148"/>
    </row>
    <row r="12" spans="1:18" x14ac:dyDescent="0.2">
      <c r="D12" s="311" t="s">
        <v>3336</v>
      </c>
      <c r="E12" s="312" t="s">
        <v>3354</v>
      </c>
      <c r="K12" s="312" t="s">
        <v>4350</v>
      </c>
      <c r="L12" s="312" t="s">
        <v>4344</v>
      </c>
      <c r="M12" s="319" t="e">
        <f>PedGuiMedIV!D9:D23,PedGuiMedIV!D25:D29,PedGuiMedIV!D37:E39</f>
        <v>#VALUE!</v>
      </c>
      <c r="P12" s="148"/>
      <c r="Q12" s="148"/>
      <c r="R12" s="148"/>
    </row>
    <row r="13" spans="1:18" x14ac:dyDescent="0.2">
      <c r="D13" s="311" t="s">
        <v>3337</v>
      </c>
      <c r="E13" s="312" t="s">
        <v>3355</v>
      </c>
      <c r="K13" s="312" t="s">
        <v>4350</v>
      </c>
      <c r="L13" s="312" t="s">
        <v>4342</v>
      </c>
      <c r="M13" s="319" t="e">
        <f>PedGuiMedIV!B1:N5</f>
        <v>#VALUE!</v>
      </c>
    </row>
    <row r="14" spans="1:18" x14ac:dyDescent="0.2">
      <c r="D14" s="311" t="s">
        <v>3338</v>
      </c>
      <c r="E14" s="312" t="s">
        <v>3356</v>
      </c>
      <c r="K14" s="312" t="s">
        <v>4350</v>
      </c>
      <c r="L14" s="312" t="s">
        <v>4343</v>
      </c>
      <c r="M14" t="str">
        <f>PedGuiMedIV!B7:N7</f>
        <v>Adviesdosering</v>
      </c>
    </row>
    <row r="15" spans="1:18" x14ac:dyDescent="0.2">
      <c r="D15" s="311" t="s">
        <v>3339</v>
      </c>
      <c r="E15" s="312" t="s">
        <v>3357</v>
      </c>
      <c r="K15" s="312" t="s">
        <v>4350</v>
      </c>
      <c r="L15" s="312" t="s">
        <v>4346</v>
      </c>
      <c r="M15" s="319" t="e">
        <f>PedGuiMedIV!D31:N35</f>
        <v>#VALUE!</v>
      </c>
    </row>
    <row r="16" spans="1:18" x14ac:dyDescent="0.2">
      <c r="D16" s="311" t="s">
        <v>3340</v>
      </c>
      <c r="E16" s="312" t="s">
        <v>3358</v>
      </c>
      <c r="K16" s="312" t="s">
        <v>4350</v>
      </c>
      <c r="L16" s="312" t="s">
        <v>4349</v>
      </c>
    </row>
    <row r="17" spans="4:13" x14ac:dyDescent="0.2">
      <c r="D17" s="311" t="s">
        <v>3341</v>
      </c>
      <c r="E17" s="312" t="s">
        <v>3359</v>
      </c>
      <c r="K17" s="312" t="s">
        <v>4350</v>
      </c>
      <c r="L17" s="312" t="s">
        <v>4347</v>
      </c>
    </row>
    <row r="18" spans="4:13" x14ac:dyDescent="0.2">
      <c r="D18" s="311" t="s">
        <v>3342</v>
      </c>
      <c r="E18" s="312" t="s">
        <v>3360</v>
      </c>
      <c r="K18" s="312" t="s">
        <v>4355</v>
      </c>
      <c r="L18" s="312" t="s">
        <v>4348</v>
      </c>
      <c r="M18">
        <f>GlobGuiMedDisc!A1</f>
        <v>0</v>
      </c>
    </row>
    <row r="19" spans="4:13" x14ac:dyDescent="0.2">
      <c r="D19" s="311" t="s">
        <v>3343</v>
      </c>
      <c r="E19" s="312" t="s">
        <v>3361</v>
      </c>
      <c r="K19" s="312" t="s">
        <v>4355</v>
      </c>
      <c r="L19" s="312" t="s">
        <v>4345</v>
      </c>
      <c r="M19" t="str">
        <f>GlobGuiMedDisc!E9:S38</f>
        <v/>
      </c>
    </row>
    <row r="20" spans="4:13" x14ac:dyDescent="0.2">
      <c r="E20" s="312" t="s">
        <v>3362</v>
      </c>
      <c r="K20" s="312" t="s">
        <v>4355</v>
      </c>
      <c r="L20" s="312" t="s">
        <v>4344</v>
      </c>
      <c r="M20">
        <f>GlobGuiMedDisc!D9:D38</f>
        <v>12</v>
      </c>
    </row>
    <row r="21" spans="4:13" x14ac:dyDescent="0.2">
      <c r="E21" s="312" t="s">
        <v>3363</v>
      </c>
      <c r="K21" s="312" t="s">
        <v>4355</v>
      </c>
      <c r="L21" s="312" t="s">
        <v>4342</v>
      </c>
      <c r="M21" t="e">
        <f>GlobGuiMedDisc!B1:S5</f>
        <v>#VALUE!</v>
      </c>
    </row>
    <row r="22" spans="4:13" x14ac:dyDescent="0.2">
      <c r="E22" s="312" t="s">
        <v>3364</v>
      </c>
      <c r="K22" s="312" t="s">
        <v>4355</v>
      </c>
      <c r="L22" s="312" t="s">
        <v>4343</v>
      </c>
      <c r="M22" t="str">
        <f>GlobGuiMedDisc!B7:S7</f>
        <v>Dosering</v>
      </c>
    </row>
    <row r="23" spans="4:13" x14ac:dyDescent="0.2">
      <c r="E23" s="312" t="s">
        <v>3365</v>
      </c>
      <c r="K23" s="312" t="s">
        <v>4355</v>
      </c>
      <c r="L23" s="312" t="s">
        <v>4346</v>
      </c>
    </row>
    <row r="24" spans="4:13" x14ac:dyDescent="0.2">
      <c r="E24" s="312" t="s">
        <v>3366</v>
      </c>
      <c r="K24" s="312" t="s">
        <v>4355</v>
      </c>
      <c r="L24" s="312" t="s">
        <v>4349</v>
      </c>
    </row>
    <row r="25" spans="4:13" x14ac:dyDescent="0.2">
      <c r="E25" s="312" t="s">
        <v>3367</v>
      </c>
      <c r="K25" s="312" t="s">
        <v>4355</v>
      </c>
      <c r="L25" s="312" t="s">
        <v>4347</v>
      </c>
    </row>
    <row r="26" spans="4:13" x14ac:dyDescent="0.2">
      <c r="E26" s="312" t="s">
        <v>3368</v>
      </c>
      <c r="K26" s="312" t="s">
        <v>4356</v>
      </c>
      <c r="L26" s="312" t="s">
        <v>4348</v>
      </c>
      <c r="M26">
        <f>PedGuiLijnPM!A1</f>
        <v>0</v>
      </c>
    </row>
    <row r="27" spans="4:13" x14ac:dyDescent="0.2">
      <c r="E27" s="312" t="s">
        <v>3369</v>
      </c>
      <c r="K27" s="312" t="s">
        <v>4356</v>
      </c>
      <c r="L27" s="312" t="s">
        <v>4345</v>
      </c>
      <c r="M27" t="e">
        <f>PedGuiLijnPM!E16,PedGuiLijnPM!E23,PedGuiLijnPM!E25:E26,PedGuiLijnPM!E28,PedGuiLijnPM!E30:E31</f>
        <v>#VALUE!</v>
      </c>
    </row>
    <row r="28" spans="4:13" x14ac:dyDescent="0.2">
      <c r="E28" s="312" t="s">
        <v>3370</v>
      </c>
      <c r="K28" s="312" t="s">
        <v>4356</v>
      </c>
      <c r="L28" s="312" t="s">
        <v>4344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312" t="s">
        <v>3371</v>
      </c>
      <c r="K29" s="312" t="s">
        <v>4356</v>
      </c>
      <c r="L29" s="312" t="s">
        <v>4342</v>
      </c>
      <c r="M29" t="e">
        <f>PedGuiLijnPM!B1:K5</f>
        <v>#VALUE!</v>
      </c>
    </row>
    <row r="30" spans="4:13" x14ac:dyDescent="0.2">
      <c r="E30" s="312" t="s">
        <v>3372</v>
      </c>
      <c r="K30" s="312" t="s">
        <v>4356</v>
      </c>
      <c r="L30" s="312" t="s">
        <v>4343</v>
      </c>
      <c r="M30" t="e">
        <f>PedGuiLijnPM!B7:K7,PedGuiLijnPM!B19:K19</f>
        <v>#VALUE!</v>
      </c>
    </row>
    <row r="31" spans="4:13" x14ac:dyDescent="0.2">
      <c r="E31" s="312" t="s">
        <v>3373</v>
      </c>
      <c r="K31" s="312" t="s">
        <v>4356</v>
      </c>
      <c r="L31" s="312" t="s">
        <v>4346</v>
      </c>
    </row>
    <row r="32" spans="4:13" x14ac:dyDescent="0.2">
      <c r="E32" s="312" t="s">
        <v>3374</v>
      </c>
      <c r="K32" s="312" t="s">
        <v>4356</v>
      </c>
      <c r="L32" s="312" t="s">
        <v>4349</v>
      </c>
    </row>
    <row r="33" spans="5:13" x14ac:dyDescent="0.2">
      <c r="E33" s="312" t="s">
        <v>3375</v>
      </c>
      <c r="K33" s="312" t="s">
        <v>4356</v>
      </c>
      <c r="L33" s="312" t="s">
        <v>4347</v>
      </c>
    </row>
    <row r="34" spans="5:13" x14ac:dyDescent="0.2">
      <c r="E34" s="312" t="s">
        <v>3376</v>
      </c>
      <c r="K34" s="312" t="s">
        <v>4357</v>
      </c>
      <c r="L34" s="312" t="s">
        <v>4348</v>
      </c>
      <c r="M34">
        <f>PedGuiEntTPN!A1</f>
        <v>0</v>
      </c>
    </row>
    <row r="35" spans="5:13" x14ac:dyDescent="0.2">
      <c r="E35" s="312" t="s">
        <v>3377</v>
      </c>
      <c r="K35" s="312" t="s">
        <v>4357</v>
      </c>
      <c r="L35" s="312" t="s">
        <v>4345</v>
      </c>
      <c r="M35" t="e">
        <f>PedGuiEntTPN!D12:E12,PedGuiEntTPN!D14:E16,PedGuiEntTPN!K10:K18,PedGuiEntTPN!E18,PedGuiEntTPN!E22,PedGuiEntTPN!F23:F24,PedGuiEntTPN!F26:F27,PedGuiEntTPN!F29:F30,PedGuiEntTPN!F32,PedGuiEntTPN!E34,PedGuiEntTPN!F36:F37,PedGuiEntTPN!J26:J27,PedGuiEntTPN!E39</f>
        <v>#VALUE!</v>
      </c>
    </row>
    <row r="36" spans="5:13" x14ac:dyDescent="0.2">
      <c r="E36" s="312" t="s">
        <v>3378</v>
      </c>
      <c r="K36" s="312" t="s">
        <v>4357</v>
      </c>
      <c r="L36" s="312" t="s">
        <v>4344</v>
      </c>
      <c r="M36" t="e">
        <f>PedGuiEntTPN!C9:D9,PedGuiEntTPN!G9,PedGuiEntTPN!C11:G11,PedGuiEntTPN!C12:C16,PedGuiEntTPN!D13:G13,PedGuiEntTPN!J9:L9,PedGuiEntTPN!J10:J18,PedGuiEntTPN!C18:D18,PedGuiEntTPN!C22:D30,PedGuiEntTPN!C32:D32,PedGuiEntTPN!C34:D37,PedGuiEntTPN!I22:I27,PedGuiEntTPN!C39:D39</f>
        <v>#VALUE!</v>
      </c>
    </row>
    <row r="37" spans="5:13" x14ac:dyDescent="0.2">
      <c r="E37" s="312" t="s">
        <v>3379</v>
      </c>
      <c r="K37" s="312" t="s">
        <v>4357</v>
      </c>
      <c r="L37" s="312" t="s">
        <v>4342</v>
      </c>
      <c r="M37" t="e">
        <f>PedGuiEntTPN!B1:L5</f>
        <v>#VALUE!</v>
      </c>
    </row>
    <row r="38" spans="5:13" x14ac:dyDescent="0.2">
      <c r="E38" s="312" t="s">
        <v>3380</v>
      </c>
      <c r="K38" s="312" t="s">
        <v>4357</v>
      </c>
      <c r="L38" s="312" t="s">
        <v>4343</v>
      </c>
      <c r="M38" t="e">
        <f>PedGuiEntTPN!B7:L7,PedGuiEntTPN!B20:L20</f>
        <v>#VALUE!</v>
      </c>
    </row>
    <row r="39" spans="5:13" x14ac:dyDescent="0.2">
      <c r="E39" s="312" t="s">
        <v>3381</v>
      </c>
      <c r="K39" s="312" t="s">
        <v>4357</v>
      </c>
      <c r="L39" s="312" t="s">
        <v>4346</v>
      </c>
      <c r="M39" t="e">
        <f>PedGuiEntTPN!B41:L45</f>
        <v>#VALUE!</v>
      </c>
    </row>
    <row r="40" spans="5:13" x14ac:dyDescent="0.2">
      <c r="E40" s="312" t="s">
        <v>3382</v>
      </c>
      <c r="K40" s="312" t="s">
        <v>4357</v>
      </c>
      <c r="L40" s="312" t="s">
        <v>4349</v>
      </c>
    </row>
    <row r="41" spans="5:13" x14ac:dyDescent="0.2">
      <c r="E41" s="312" t="s">
        <v>3383</v>
      </c>
      <c r="K41" s="312" t="s">
        <v>4357</v>
      </c>
      <c r="L41" s="312" t="s">
        <v>4347</v>
      </c>
    </row>
    <row r="42" spans="5:13" x14ac:dyDescent="0.2">
      <c r="E42" s="312" t="s">
        <v>3384</v>
      </c>
      <c r="K42" s="312" t="s">
        <v>4358</v>
      </c>
      <c r="L42" s="312" t="s">
        <v>4348</v>
      </c>
      <c r="M42">
        <f>PedGuiLab!A1</f>
        <v>0</v>
      </c>
    </row>
    <row r="43" spans="5:13" x14ac:dyDescent="0.2">
      <c r="E43" s="312" t="s">
        <v>3385</v>
      </c>
      <c r="K43" s="312" t="s">
        <v>4358</v>
      </c>
      <c r="L43" s="312" t="s">
        <v>4345</v>
      </c>
      <c r="M43" t="str">
        <f>PedGuiLab!D43</f>
        <v/>
      </c>
    </row>
    <row r="44" spans="5:13" x14ac:dyDescent="0.2">
      <c r="E44" s="312" t="s">
        <v>3386</v>
      </c>
      <c r="K44" s="312" t="s">
        <v>4358</v>
      </c>
      <c r="L44" s="312" t="s">
        <v>4344</v>
      </c>
      <c r="M44" t="e">
        <f>PedGuiLab!B9:L9,PedGuiLab!B43:C44</f>
        <v>#VALUE!</v>
      </c>
    </row>
    <row r="45" spans="5:13" x14ac:dyDescent="0.2">
      <c r="E45" s="312" t="s">
        <v>3387</v>
      </c>
      <c r="K45" s="312" t="s">
        <v>4358</v>
      </c>
      <c r="L45" s="312" t="s">
        <v>4342</v>
      </c>
      <c r="M45" t="e">
        <f>PedGuiLab!B1:N5</f>
        <v>#VALUE!</v>
      </c>
    </row>
    <row r="46" spans="5:13" x14ac:dyDescent="0.2">
      <c r="E46" s="312" t="s">
        <v>3388</v>
      </c>
      <c r="K46" s="312" t="s">
        <v>4358</v>
      </c>
      <c r="L46" s="312" t="s">
        <v>4343</v>
      </c>
      <c r="M46">
        <f>PedGuiLab!B7:N7</f>
        <v>0</v>
      </c>
    </row>
    <row r="47" spans="5:13" x14ac:dyDescent="0.2">
      <c r="E47" s="312" t="s">
        <v>3389</v>
      </c>
      <c r="K47" s="312" t="s">
        <v>4358</v>
      </c>
      <c r="L47" s="312" t="s">
        <v>4346</v>
      </c>
    </row>
    <row r="48" spans="5:13" x14ac:dyDescent="0.2">
      <c r="E48" s="312" t="s">
        <v>3390</v>
      </c>
      <c r="K48" s="312" t="s">
        <v>4358</v>
      </c>
      <c r="L48" s="312" t="s">
        <v>4349</v>
      </c>
      <c r="M48" t="e">
        <f>PedGuiLab!B10:I41,PedGuiLab!K10:L41</f>
        <v>#VALUE!</v>
      </c>
    </row>
    <row r="49" spans="5:13" x14ac:dyDescent="0.2">
      <c r="E49" s="312" t="s">
        <v>3391</v>
      </c>
      <c r="K49" s="312" t="s">
        <v>4358</v>
      </c>
      <c r="L49" s="312" t="s">
        <v>4347</v>
      </c>
    </row>
    <row r="50" spans="5:13" x14ac:dyDescent="0.2">
      <c r="E50" s="312" t="s">
        <v>3392</v>
      </c>
      <c r="K50" s="312" t="s">
        <v>4359</v>
      </c>
      <c r="L50" s="312" t="s">
        <v>4348</v>
      </c>
      <c r="M50">
        <f>PedGuiAcuut!A1</f>
        <v>0</v>
      </c>
    </row>
    <row r="51" spans="5:13" x14ac:dyDescent="0.2">
      <c r="E51" s="312" t="s">
        <v>3393</v>
      </c>
      <c r="K51" s="312" t="s">
        <v>4359</v>
      </c>
      <c r="L51" s="312" t="s">
        <v>4345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312" t="s">
        <v>3394</v>
      </c>
      <c r="K52" s="312" t="s">
        <v>4359</v>
      </c>
      <c r="L52" s="312" t="s">
        <v>4344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312" t="s">
        <v>3395</v>
      </c>
      <c r="K53" s="312" t="s">
        <v>4359</v>
      </c>
      <c r="L53" s="312" t="s">
        <v>4342</v>
      </c>
      <c r="M53" t="e">
        <f>PedGuiAcuut!B2:G5</f>
        <v>#VALUE!</v>
      </c>
    </row>
    <row r="54" spans="5:13" x14ac:dyDescent="0.2">
      <c r="E54" s="312" t="s">
        <v>3396</v>
      </c>
      <c r="K54" s="312" t="s">
        <v>4359</v>
      </c>
      <c r="L54" s="312" t="s">
        <v>4343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312" t="s">
        <v>4359</v>
      </c>
      <c r="L55" s="312" t="s">
        <v>4346</v>
      </c>
    </row>
    <row r="56" spans="5:13" x14ac:dyDescent="0.2">
      <c r="K56" s="312" t="s">
        <v>4359</v>
      </c>
      <c r="L56" s="312" t="s">
        <v>4349</v>
      </c>
    </row>
    <row r="57" spans="5:13" x14ac:dyDescent="0.2">
      <c r="K57" s="312" t="s">
        <v>4359</v>
      </c>
      <c r="L57" s="312" t="s">
        <v>4347</v>
      </c>
    </row>
    <row r="58" spans="5:13" x14ac:dyDescent="0.2">
      <c r="K58" s="312" t="s">
        <v>4360</v>
      </c>
      <c r="L58" s="312" t="s">
        <v>4348</v>
      </c>
      <c r="M58">
        <f>PedGuiAfspr!A1</f>
        <v>0</v>
      </c>
    </row>
    <row r="59" spans="5:13" x14ac:dyDescent="0.2">
      <c r="K59" s="312" t="s">
        <v>4360</v>
      </c>
      <c r="L59" s="312" t="s">
        <v>4345</v>
      </c>
      <c r="M59" t="e">
        <f>PedGuiAfspr!C8:C11,PedGuiAfspr!C18:C19,PedGuiAfspr!G9:G10,PedGuiAfspr!I10,PedGuiAfspr!F18,PedGuiAfspr!D35</f>
        <v>#VALUE!</v>
      </c>
    </row>
    <row r="60" spans="5:13" x14ac:dyDescent="0.2">
      <c r="K60" s="312" t="s">
        <v>4360</v>
      </c>
      <c r="L60" s="312" t="s">
        <v>4344</v>
      </c>
      <c r="M60" t="e">
        <f>PedGuiAfspr!H10,PedGuiAfspr!F17:I17</f>
        <v>#VALUE!</v>
      </c>
    </row>
    <row r="61" spans="5:13" x14ac:dyDescent="0.2">
      <c r="K61" s="312" t="s">
        <v>4360</v>
      </c>
      <c r="L61" s="312" t="s">
        <v>4342</v>
      </c>
      <c r="M61" t="e">
        <f>PedGuiAfspr!B1:I4</f>
        <v>#VALUE!</v>
      </c>
    </row>
    <row r="62" spans="5:13" x14ac:dyDescent="0.2">
      <c r="K62" s="312" t="s">
        <v>4360</v>
      </c>
      <c r="L62" s="312" t="s">
        <v>4343</v>
      </c>
      <c r="M62" t="e">
        <f>PedGuiAfspr!B6:I6,PedGuiAfspr!B22:I22,PedGuiAfspr!B28:I28</f>
        <v>#VALUE!</v>
      </c>
    </row>
    <row r="63" spans="5:13" x14ac:dyDescent="0.2">
      <c r="K63" s="312" t="s">
        <v>4360</v>
      </c>
      <c r="L63" s="312" t="s">
        <v>4346</v>
      </c>
      <c r="M63" t="e">
        <f>PedGuiAfspr!B37:I41</f>
        <v>#VALUE!</v>
      </c>
    </row>
    <row r="64" spans="5:13" x14ac:dyDescent="0.2">
      <c r="K64" s="312" t="s">
        <v>4360</v>
      </c>
      <c r="L64" s="312" t="s">
        <v>4349</v>
      </c>
    </row>
    <row r="65" spans="11:12" x14ac:dyDescent="0.2">
      <c r="K65" s="312" t="s">
        <v>4360</v>
      </c>
      <c r="L65" s="312" t="s">
        <v>4347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559" activePane="bottomLeft" state="frozen"/>
      <selection pane="bottomLeft" activeCell="B580" sqref="B580:B591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831" customWidth="1"/>
  </cols>
  <sheetData>
    <row r="1" spans="1:9" x14ac:dyDescent="0.2">
      <c r="A1" t="s">
        <v>1038</v>
      </c>
      <c r="B1" t="s">
        <v>1036</v>
      </c>
      <c r="C1" t="s">
        <v>1037</v>
      </c>
      <c r="D1" t="s">
        <v>2032</v>
      </c>
      <c r="E1" t="s">
        <v>1033</v>
      </c>
      <c r="F1" t="s">
        <v>1982</v>
      </c>
      <c r="G1" t="s">
        <v>2029</v>
      </c>
      <c r="H1" t="s">
        <v>2030</v>
      </c>
      <c r="I1" t="s">
        <v>2031</v>
      </c>
    </row>
    <row r="2" spans="1:9" x14ac:dyDescent="0.2">
      <c r="A2" t="s">
        <v>3418</v>
      </c>
      <c r="B2" t="s">
        <v>1039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1417</v>
      </c>
      <c r="B3" t="s">
        <v>1040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3419</v>
      </c>
      <c r="B4" t="s">
        <v>1041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3420</v>
      </c>
      <c r="B5" t="s">
        <v>1042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3421</v>
      </c>
      <c r="B6" t="s">
        <v>1043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4616</v>
      </c>
      <c r="B7" t="s">
        <v>1787</v>
      </c>
      <c r="D7" t="b">
        <f>IFERROR(VLOOKUP(B7,PatData!$A$2:$A$2000,1,),"")&lt;&gt;""</f>
        <v>0</v>
      </c>
      <c r="E7" t="s">
        <v>1038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1110</v>
      </c>
      <c r="B8" t="s">
        <v>1044</v>
      </c>
      <c r="D8" t="b">
        <f>IFERROR(VLOOKUP(B8,PatData!$A$2:$A$2000,1,),"")&lt;&gt;""</f>
        <v>0</v>
      </c>
      <c r="E8" t="s">
        <v>1039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5032</v>
      </c>
      <c r="B9" t="s">
        <v>1045</v>
      </c>
      <c r="D9" t="b">
        <f>IFERROR(VLOOKUP(B9,PatData!$A$2:$A$2000,1,),"")&lt;&gt;""</f>
        <v>0</v>
      </c>
      <c r="E9" t="s">
        <v>155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3812</v>
      </c>
      <c r="B10" t="s">
        <v>2036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3813</v>
      </c>
      <c r="B11" t="s">
        <v>2037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3814</v>
      </c>
      <c r="B12" t="s">
        <v>2038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3815</v>
      </c>
      <c r="B13" t="s">
        <v>2039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3816</v>
      </c>
      <c r="B14" t="s">
        <v>2040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3817</v>
      </c>
      <c r="B15" t="s">
        <v>2041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3818</v>
      </c>
      <c r="B16" t="s">
        <v>2042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3819</v>
      </c>
      <c r="B17" t="s">
        <v>2043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3820</v>
      </c>
      <c r="B18" t="s">
        <v>2044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3821</v>
      </c>
      <c r="B19" t="s">
        <v>2045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3822</v>
      </c>
      <c r="B20" t="s">
        <v>2046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3823</v>
      </c>
      <c r="B21" t="s">
        <v>2047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3824</v>
      </c>
      <c r="B22" t="s">
        <v>2048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3825</v>
      </c>
      <c r="B23" t="s">
        <v>2049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3826</v>
      </c>
      <c r="B24" t="s">
        <v>2050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3827</v>
      </c>
      <c r="B25" t="s">
        <v>2051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3828</v>
      </c>
      <c r="B26" t="s">
        <v>2052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3829</v>
      </c>
      <c r="B27" t="s">
        <v>2053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3830</v>
      </c>
      <c r="B28" t="s">
        <v>2054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3831</v>
      </c>
      <c r="B29" t="s">
        <v>2055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3832</v>
      </c>
      <c r="B30" t="s">
        <v>2056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3833</v>
      </c>
      <c r="B31" t="s">
        <v>2057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3834</v>
      </c>
      <c r="B32" t="s">
        <v>2058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3835</v>
      </c>
      <c r="B33" t="s">
        <v>2059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3836</v>
      </c>
      <c r="B34" t="s">
        <v>2060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3837</v>
      </c>
      <c r="B35" t="s">
        <v>2061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3838</v>
      </c>
      <c r="B36" t="s">
        <v>2062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3839</v>
      </c>
      <c r="B37" t="s">
        <v>2063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3840</v>
      </c>
      <c r="B38" t="s">
        <v>2064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3841</v>
      </c>
      <c r="B39" t="s">
        <v>2065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3452</v>
      </c>
      <c r="B40" t="s">
        <v>2066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3453</v>
      </c>
      <c r="B41" t="s">
        <v>2067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3454</v>
      </c>
      <c r="B42" t="s">
        <v>2068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3455</v>
      </c>
      <c r="B43" t="s">
        <v>2069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3456</v>
      </c>
      <c r="B44" t="s">
        <v>2070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3457</v>
      </c>
      <c r="B45" t="s">
        <v>2071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3458</v>
      </c>
      <c r="B46" t="s">
        <v>2072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3459</v>
      </c>
      <c r="B47" t="s">
        <v>2073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3460</v>
      </c>
      <c r="B48" t="s">
        <v>2074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3461</v>
      </c>
      <c r="B49" t="s">
        <v>2075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3462</v>
      </c>
      <c r="B50" t="s">
        <v>2076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3463</v>
      </c>
      <c r="B51" t="s">
        <v>2077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3464</v>
      </c>
      <c r="B52" t="s">
        <v>2078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3465</v>
      </c>
      <c r="B53" t="s">
        <v>2079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3466</v>
      </c>
      <c r="B54" t="s">
        <v>2080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3467</v>
      </c>
      <c r="B55" t="s">
        <v>2081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3468</v>
      </c>
      <c r="B56" t="s">
        <v>2082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3469</v>
      </c>
      <c r="B57" t="s">
        <v>2083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3470</v>
      </c>
      <c r="B58" t="s">
        <v>2084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3471</v>
      </c>
      <c r="B59" t="s">
        <v>2085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3472</v>
      </c>
      <c r="B60" t="s">
        <v>2086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3473</v>
      </c>
      <c r="B61" t="s">
        <v>2087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3474</v>
      </c>
      <c r="B62" t="s">
        <v>2088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3475</v>
      </c>
      <c r="B63" t="s">
        <v>2089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3476</v>
      </c>
      <c r="B64" t="s">
        <v>2090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3477</v>
      </c>
      <c r="B65" t="s">
        <v>2091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3478</v>
      </c>
      <c r="B66" t="s">
        <v>2092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3479</v>
      </c>
      <c r="B67" t="s">
        <v>2093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3480</v>
      </c>
      <c r="B68" t="s">
        <v>2094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3481</v>
      </c>
      <c r="B69" t="s">
        <v>2095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3482</v>
      </c>
      <c r="B70" t="s">
        <v>2096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3483</v>
      </c>
      <c r="B71" t="s">
        <v>2097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3484</v>
      </c>
      <c r="B72" t="s">
        <v>2098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3485</v>
      </c>
      <c r="B73" t="s">
        <v>2099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3486</v>
      </c>
      <c r="B74" t="s">
        <v>2100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3487</v>
      </c>
      <c r="B75" t="s">
        <v>2101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3488</v>
      </c>
      <c r="B76" t="s">
        <v>2102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3489</v>
      </c>
      <c r="B77" t="s">
        <v>2103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3490</v>
      </c>
      <c r="B78" t="s">
        <v>2104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3491</v>
      </c>
      <c r="B79" t="s">
        <v>2105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3492</v>
      </c>
      <c r="B80" t="s">
        <v>2106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3493</v>
      </c>
      <c r="B81" t="s">
        <v>2107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3494</v>
      </c>
      <c r="B82" t="s">
        <v>2108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3495</v>
      </c>
      <c r="B83" t="s">
        <v>2109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3496</v>
      </c>
      <c r="B84" t="s">
        <v>2110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3497</v>
      </c>
      <c r="B85" t="s">
        <v>2111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3498</v>
      </c>
      <c r="B86" t="s">
        <v>2112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3499</v>
      </c>
      <c r="B87" t="s">
        <v>2113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3500</v>
      </c>
      <c r="B88" t="s">
        <v>2114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3501</v>
      </c>
      <c r="B89" t="s">
        <v>2115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3502</v>
      </c>
      <c r="B90" t="s">
        <v>2116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3503</v>
      </c>
      <c r="B91" t="s">
        <v>2117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3504</v>
      </c>
      <c r="B92" t="s">
        <v>2118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3505</v>
      </c>
      <c r="B93" t="s">
        <v>2119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3506</v>
      </c>
      <c r="B94" t="s">
        <v>2120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3507</v>
      </c>
      <c r="B95" t="s">
        <v>2121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3508</v>
      </c>
      <c r="B96" t="s">
        <v>2122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3509</v>
      </c>
      <c r="B97" t="s">
        <v>2123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3510</v>
      </c>
      <c r="B98" t="s">
        <v>2124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3511</v>
      </c>
      <c r="B99" t="s">
        <v>2125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4127</v>
      </c>
      <c r="B100" t="s">
        <v>2126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4128</v>
      </c>
      <c r="B101" t="s">
        <v>2127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4129</v>
      </c>
      <c r="B102" t="s">
        <v>2128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4130</v>
      </c>
      <c r="B103" t="s">
        <v>2129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4131</v>
      </c>
      <c r="B104" t="s">
        <v>2130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4132</v>
      </c>
      <c r="B105" t="s">
        <v>2131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4133</v>
      </c>
      <c r="B106" t="s">
        <v>2132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4134</v>
      </c>
      <c r="B107" t="s">
        <v>2133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4135</v>
      </c>
      <c r="B108" t="s">
        <v>2134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4136</v>
      </c>
      <c r="B109" t="s">
        <v>2135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4137</v>
      </c>
      <c r="B110" t="s">
        <v>2136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4138</v>
      </c>
      <c r="B111" t="s">
        <v>2137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4139</v>
      </c>
      <c r="B112" t="s">
        <v>2138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4140</v>
      </c>
      <c r="B113" t="s">
        <v>2139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4141</v>
      </c>
      <c r="B114" t="s">
        <v>2140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4142</v>
      </c>
      <c r="B115" t="s">
        <v>2141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4143</v>
      </c>
      <c r="B116" t="s">
        <v>2142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4144</v>
      </c>
      <c r="B117" t="s">
        <v>2143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4145</v>
      </c>
      <c r="B118" t="s">
        <v>2144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4146</v>
      </c>
      <c r="B119" t="s">
        <v>2145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4147</v>
      </c>
      <c r="B120" t="s">
        <v>2146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4148</v>
      </c>
      <c r="B121" t="s">
        <v>2147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4149</v>
      </c>
      <c r="B122" t="s">
        <v>2148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4150</v>
      </c>
      <c r="B123" t="s">
        <v>2149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4151</v>
      </c>
      <c r="B124" t="s">
        <v>2150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4152</v>
      </c>
      <c r="B125" t="s">
        <v>2151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4153</v>
      </c>
      <c r="B126" t="s">
        <v>2152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4154</v>
      </c>
      <c r="B127" t="s">
        <v>2153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4155</v>
      </c>
      <c r="B128" t="s">
        <v>2154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4156</v>
      </c>
      <c r="B129" t="s">
        <v>2155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3542</v>
      </c>
      <c r="B130" t="s">
        <v>2156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3543</v>
      </c>
      <c r="B131" t="s">
        <v>2157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3544</v>
      </c>
      <c r="B132" t="s">
        <v>2158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3545</v>
      </c>
      <c r="B133" t="s">
        <v>2159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3546</v>
      </c>
      <c r="B134" t="s">
        <v>2160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3547</v>
      </c>
      <c r="B135" t="s">
        <v>2161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3548</v>
      </c>
      <c r="B136" t="s">
        <v>2162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3549</v>
      </c>
      <c r="B137" t="s">
        <v>2163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3550</v>
      </c>
      <c r="B138" t="s">
        <v>2164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3551</v>
      </c>
      <c r="B139" t="s">
        <v>2165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3552</v>
      </c>
      <c r="B140" t="s">
        <v>2166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3553</v>
      </c>
      <c r="B141" t="s">
        <v>2167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3554</v>
      </c>
      <c r="B142" t="s">
        <v>2168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3555</v>
      </c>
      <c r="B143" t="s">
        <v>2169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3556</v>
      </c>
      <c r="B144" t="s">
        <v>2170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3557</v>
      </c>
      <c r="B145" t="s">
        <v>2171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3558</v>
      </c>
      <c r="B146" t="s">
        <v>2172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3559</v>
      </c>
      <c r="B147" t="s">
        <v>2173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3560</v>
      </c>
      <c r="B148" t="s">
        <v>2174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3561</v>
      </c>
      <c r="B149" t="s">
        <v>2175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3562</v>
      </c>
      <c r="B150" t="s">
        <v>2176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3563</v>
      </c>
      <c r="B151" t="s">
        <v>2177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3564</v>
      </c>
      <c r="B152" t="s">
        <v>2178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3565</v>
      </c>
      <c r="B153" t="s">
        <v>2179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3566</v>
      </c>
      <c r="B154" t="s">
        <v>2180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3567</v>
      </c>
      <c r="B155" t="s">
        <v>2181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3568</v>
      </c>
      <c r="B156" t="s">
        <v>2182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3569</v>
      </c>
      <c r="B157" t="s">
        <v>2183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3570</v>
      </c>
      <c r="B158" t="s">
        <v>2184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3571</v>
      </c>
      <c r="B159" t="s">
        <v>2185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3572</v>
      </c>
      <c r="B160" t="s">
        <v>2186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3573</v>
      </c>
      <c r="B161" t="s">
        <v>2187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3574</v>
      </c>
      <c r="B162" t="s">
        <v>2188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3575</v>
      </c>
      <c r="B163" t="s">
        <v>2189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3576</v>
      </c>
      <c r="B164" t="s">
        <v>2190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3577</v>
      </c>
      <c r="B165" t="s">
        <v>2191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3578</v>
      </c>
      <c r="B166" t="s">
        <v>2192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3579</v>
      </c>
      <c r="B167" t="s">
        <v>2193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3580</v>
      </c>
      <c r="B168" t="s">
        <v>2194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3581</v>
      </c>
      <c r="B169" t="s">
        <v>2195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3582</v>
      </c>
      <c r="B170" t="s">
        <v>2196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3583</v>
      </c>
      <c r="B171" t="s">
        <v>2197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3584</v>
      </c>
      <c r="B172" t="s">
        <v>2198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3585</v>
      </c>
      <c r="B173" t="s">
        <v>2199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3586</v>
      </c>
      <c r="B174" t="s">
        <v>2200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3587</v>
      </c>
      <c r="B175" t="s">
        <v>2201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3588</v>
      </c>
      <c r="B176" t="s">
        <v>2202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3589</v>
      </c>
      <c r="B177" t="s">
        <v>2203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3590</v>
      </c>
      <c r="B178" t="s">
        <v>2204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3591</v>
      </c>
      <c r="B179" t="s">
        <v>2205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3592</v>
      </c>
      <c r="B180" t="s">
        <v>2206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3593</v>
      </c>
      <c r="B181" t="s">
        <v>2207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3594</v>
      </c>
      <c r="B182" t="s">
        <v>2208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3595</v>
      </c>
      <c r="B183" t="s">
        <v>2209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3596</v>
      </c>
      <c r="B184" t="s">
        <v>2210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3597</v>
      </c>
      <c r="B185" t="s">
        <v>2211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3598</v>
      </c>
      <c r="B186" t="s">
        <v>2212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3599</v>
      </c>
      <c r="B187" t="s">
        <v>2213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3600</v>
      </c>
      <c r="B188" t="s">
        <v>2214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3601</v>
      </c>
      <c r="B189" t="s">
        <v>2215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3602</v>
      </c>
      <c r="B190" t="s">
        <v>2216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3603</v>
      </c>
      <c r="B191" t="s">
        <v>2217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3604</v>
      </c>
      <c r="B192" t="s">
        <v>2218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3605</v>
      </c>
      <c r="B193" t="s">
        <v>2219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3606</v>
      </c>
      <c r="B194" t="s">
        <v>2220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3607</v>
      </c>
      <c r="B195" t="s">
        <v>2221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3608</v>
      </c>
      <c r="B196" t="s">
        <v>2222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3609</v>
      </c>
      <c r="B197" t="s">
        <v>2223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3610</v>
      </c>
      <c r="B198" t="s">
        <v>2224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3611</v>
      </c>
      <c r="B199" t="s">
        <v>2225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3612</v>
      </c>
      <c r="B200" t="s">
        <v>2226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3613</v>
      </c>
      <c r="B201" t="s">
        <v>2227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3614</v>
      </c>
      <c r="B202" t="s">
        <v>2228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3615</v>
      </c>
      <c r="B203" t="s">
        <v>2229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3616</v>
      </c>
      <c r="B204" t="s">
        <v>2230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3617</v>
      </c>
      <c r="B205" t="s">
        <v>2231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3618</v>
      </c>
      <c r="B206" t="s">
        <v>2232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3619</v>
      </c>
      <c r="B207" t="s">
        <v>2233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3620</v>
      </c>
      <c r="B208" t="s">
        <v>2234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3621</v>
      </c>
      <c r="B209" t="s">
        <v>2235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3622</v>
      </c>
      <c r="B210" t="s">
        <v>2236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3623</v>
      </c>
      <c r="B211" t="s">
        <v>2237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3624</v>
      </c>
      <c r="B212" t="s">
        <v>2238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3625</v>
      </c>
      <c r="B213" t="s">
        <v>2239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3626</v>
      </c>
      <c r="B214" t="s">
        <v>2240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3627</v>
      </c>
      <c r="B215" t="s">
        <v>2241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3628</v>
      </c>
      <c r="B216" t="s">
        <v>2242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3629</v>
      </c>
      <c r="B217" t="s">
        <v>2243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3630</v>
      </c>
      <c r="B218" t="s">
        <v>2244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3631</v>
      </c>
      <c r="B219" t="s">
        <v>2245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3632</v>
      </c>
      <c r="B220" t="s">
        <v>2246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3633</v>
      </c>
      <c r="B221" t="s">
        <v>2247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3634</v>
      </c>
      <c r="B222" t="s">
        <v>2248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3635</v>
      </c>
      <c r="B223" t="s">
        <v>2249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3636</v>
      </c>
      <c r="B224" t="s">
        <v>2250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3637</v>
      </c>
      <c r="B225" t="s">
        <v>2251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3638</v>
      </c>
      <c r="B226" t="s">
        <v>2252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3639</v>
      </c>
      <c r="B227" t="s">
        <v>2253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3640</v>
      </c>
      <c r="B228" t="s">
        <v>2254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3641</v>
      </c>
      <c r="B229" t="s">
        <v>2255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3642</v>
      </c>
      <c r="B230" t="s">
        <v>2256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3643</v>
      </c>
      <c r="B231" t="s">
        <v>2257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3644</v>
      </c>
      <c r="B232" t="s">
        <v>2258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3645</v>
      </c>
      <c r="B233" t="s">
        <v>2259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3646</v>
      </c>
      <c r="B234" t="s">
        <v>2260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3647</v>
      </c>
      <c r="B235" t="s">
        <v>2261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3648</v>
      </c>
      <c r="B236" t="s">
        <v>2262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3649</v>
      </c>
      <c r="B237" t="s">
        <v>2263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3650</v>
      </c>
      <c r="B238" t="s">
        <v>2264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3651</v>
      </c>
      <c r="B239" t="s">
        <v>2265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3652</v>
      </c>
      <c r="B240" t="s">
        <v>2266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3653</v>
      </c>
      <c r="B241" t="s">
        <v>2267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3654</v>
      </c>
      <c r="B242" t="s">
        <v>2268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3655</v>
      </c>
      <c r="B243" t="s">
        <v>2269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3656</v>
      </c>
      <c r="B244" t="s">
        <v>2270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3657</v>
      </c>
      <c r="B245" t="s">
        <v>2271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3658</v>
      </c>
      <c r="B246" t="s">
        <v>2272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3659</v>
      </c>
      <c r="B247" t="s">
        <v>2273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3660</v>
      </c>
      <c r="B248" t="s">
        <v>2274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3661</v>
      </c>
      <c r="B249" t="s">
        <v>2275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3692</v>
      </c>
      <c r="B250" t="s">
        <v>2276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3693</v>
      </c>
      <c r="B251" t="s">
        <v>2277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3694</v>
      </c>
      <c r="B252" t="s">
        <v>2278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3695</v>
      </c>
      <c r="B253" t="s">
        <v>2279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3696</v>
      </c>
      <c r="B254" t="s">
        <v>2280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3697</v>
      </c>
      <c r="B255" t="s">
        <v>2281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3698</v>
      </c>
      <c r="B256" t="s">
        <v>2282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3699</v>
      </c>
      <c r="B257" t="s">
        <v>2283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3700</v>
      </c>
      <c r="B258" t="s">
        <v>2284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3701</v>
      </c>
      <c r="B259" t="s">
        <v>2285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3702</v>
      </c>
      <c r="B260" t="s">
        <v>2286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3703</v>
      </c>
      <c r="B261" t="s">
        <v>2287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3704</v>
      </c>
      <c r="B262" t="s">
        <v>2288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3705</v>
      </c>
      <c r="B263" t="s">
        <v>2289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3706</v>
      </c>
      <c r="B264" t="s">
        <v>2290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3707</v>
      </c>
      <c r="B265" t="s">
        <v>2291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3708</v>
      </c>
      <c r="B266" t="s">
        <v>2292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3709</v>
      </c>
      <c r="B267" t="s">
        <v>2293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3710</v>
      </c>
      <c r="B268" t="s">
        <v>2294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3711</v>
      </c>
      <c r="B269" t="s">
        <v>2295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3712</v>
      </c>
      <c r="B270" t="s">
        <v>2296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3713</v>
      </c>
      <c r="B271" t="s">
        <v>2297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3714</v>
      </c>
      <c r="B272" t="s">
        <v>2298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3715</v>
      </c>
      <c r="B273" t="s">
        <v>2299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3716</v>
      </c>
      <c r="B274" t="s">
        <v>2300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3717</v>
      </c>
      <c r="B275" t="s">
        <v>2301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3718</v>
      </c>
      <c r="B276" t="s">
        <v>2302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3719</v>
      </c>
      <c r="B277" t="s">
        <v>2303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3720</v>
      </c>
      <c r="B278" t="s">
        <v>2304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3721</v>
      </c>
      <c r="B279" t="s">
        <v>2305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3722</v>
      </c>
      <c r="B280" t="s">
        <v>2306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3723</v>
      </c>
      <c r="B281" t="s">
        <v>2307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3724</v>
      </c>
      <c r="B282" t="s">
        <v>2308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3725</v>
      </c>
      <c r="B283" t="s">
        <v>2309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3726</v>
      </c>
      <c r="B284" t="s">
        <v>2310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3727</v>
      </c>
      <c r="B285" t="s">
        <v>2311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3728</v>
      </c>
      <c r="B286" t="s">
        <v>2312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3729</v>
      </c>
      <c r="B287" t="s">
        <v>2313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3730</v>
      </c>
      <c r="B288" t="s">
        <v>2314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3731</v>
      </c>
      <c r="B289" t="s">
        <v>2315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3732</v>
      </c>
      <c r="B290" t="s">
        <v>2316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3733</v>
      </c>
      <c r="B291" t="s">
        <v>2317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3734</v>
      </c>
      <c r="B292" t="s">
        <v>2318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3735</v>
      </c>
      <c r="B293" t="s">
        <v>2319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3736</v>
      </c>
      <c r="B294" t="s">
        <v>2320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3737</v>
      </c>
      <c r="B295" t="s">
        <v>2321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3738</v>
      </c>
      <c r="B296" t="s">
        <v>2322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3739</v>
      </c>
      <c r="B297" t="s">
        <v>2323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3740</v>
      </c>
      <c r="B298" t="s">
        <v>2324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3741</v>
      </c>
      <c r="B299" t="s">
        <v>2325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3742</v>
      </c>
      <c r="B300" t="s">
        <v>2326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3743</v>
      </c>
      <c r="B301" t="s">
        <v>2327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3744</v>
      </c>
      <c r="B302" t="s">
        <v>2328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3745</v>
      </c>
      <c r="B303" t="s">
        <v>2329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3746</v>
      </c>
      <c r="B304" t="s">
        <v>2330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3747</v>
      </c>
      <c r="B305" t="s">
        <v>2331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3748</v>
      </c>
      <c r="B306" t="s">
        <v>2332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3749</v>
      </c>
      <c r="B307" t="s">
        <v>2333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3750</v>
      </c>
      <c r="B308" t="s">
        <v>2334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3751</v>
      </c>
      <c r="B309" t="s">
        <v>2335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4157</v>
      </c>
      <c r="B310" t="s">
        <v>2336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4158</v>
      </c>
      <c r="B311" t="s">
        <v>2337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4159</v>
      </c>
      <c r="B312" t="s">
        <v>2338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4160</v>
      </c>
      <c r="B313" t="s">
        <v>2339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4161</v>
      </c>
      <c r="B314" t="s">
        <v>2340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4162</v>
      </c>
      <c r="B315" t="s">
        <v>2341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4163</v>
      </c>
      <c r="B316" t="s">
        <v>2342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4164</v>
      </c>
      <c r="B317" t="s">
        <v>2343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4165</v>
      </c>
      <c r="B318" t="s">
        <v>2344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4166</v>
      </c>
      <c r="B319" t="s">
        <v>2345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4167</v>
      </c>
      <c r="B320" t="s">
        <v>2346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4168</v>
      </c>
      <c r="B321" t="s">
        <v>2347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4169</v>
      </c>
      <c r="B322" t="s">
        <v>2348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4170</v>
      </c>
      <c r="B323" t="s">
        <v>2349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4171</v>
      </c>
      <c r="B324" t="s">
        <v>2350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4172</v>
      </c>
      <c r="B325" t="s">
        <v>2351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4173</v>
      </c>
      <c r="B326" t="s">
        <v>2352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4174</v>
      </c>
      <c r="B327" t="s">
        <v>2353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4175</v>
      </c>
      <c r="B328" t="s">
        <v>2354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4176</v>
      </c>
      <c r="B329" t="s">
        <v>2355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4177</v>
      </c>
      <c r="B330" t="s">
        <v>2356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4178</v>
      </c>
      <c r="B331" t="s">
        <v>2357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4179</v>
      </c>
      <c r="B332" t="s">
        <v>2358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4180</v>
      </c>
      <c r="B333" t="s">
        <v>2359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4181</v>
      </c>
      <c r="B334" t="s">
        <v>2360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4182</v>
      </c>
      <c r="B335" t="s">
        <v>2361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4183</v>
      </c>
      <c r="B336" t="s">
        <v>2362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4184</v>
      </c>
      <c r="B337" t="s">
        <v>2363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4185</v>
      </c>
      <c r="B338" t="s">
        <v>2364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4186</v>
      </c>
      <c r="B339" t="s">
        <v>2365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3422</v>
      </c>
      <c r="B340" t="s">
        <v>4187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3423</v>
      </c>
      <c r="B341" t="s">
        <v>4188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3424</v>
      </c>
      <c r="B342" t="s">
        <v>4189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3425</v>
      </c>
      <c r="B343" t="s">
        <v>4190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3426</v>
      </c>
      <c r="B344" t="s">
        <v>4191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3427</v>
      </c>
      <c r="B345" t="s">
        <v>4192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3428</v>
      </c>
      <c r="B346" t="s">
        <v>4193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3429</v>
      </c>
      <c r="B347" t="s">
        <v>4194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3430</v>
      </c>
      <c r="B348" t="s">
        <v>4195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3431</v>
      </c>
      <c r="B349" t="s">
        <v>4196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3432</v>
      </c>
      <c r="B350" t="s">
        <v>4197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3433</v>
      </c>
      <c r="B351" t="s">
        <v>4198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3434</v>
      </c>
      <c r="B352" t="s">
        <v>4199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3435</v>
      </c>
      <c r="B353" t="s">
        <v>4200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3436</v>
      </c>
      <c r="B354" t="s">
        <v>4201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3437</v>
      </c>
      <c r="B355" t="s">
        <v>4202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3438</v>
      </c>
      <c r="B356" t="s">
        <v>4203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3439</v>
      </c>
      <c r="B357" t="s">
        <v>4204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3440</v>
      </c>
      <c r="B358" t="s">
        <v>4205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3441</v>
      </c>
      <c r="B359" t="s">
        <v>4206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3442</v>
      </c>
      <c r="B360" t="s">
        <v>4207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3443</v>
      </c>
      <c r="B361" t="s">
        <v>4208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3444</v>
      </c>
      <c r="B362" t="s">
        <v>4209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3445</v>
      </c>
      <c r="B363" t="s">
        <v>4210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3446</v>
      </c>
      <c r="B364" t="s">
        <v>4211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3447</v>
      </c>
      <c r="B365" t="s">
        <v>4212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3448</v>
      </c>
      <c r="B366" t="s">
        <v>4213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3449</v>
      </c>
      <c r="B367" t="s">
        <v>4214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3450</v>
      </c>
      <c r="B368" t="s">
        <v>4215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3451</v>
      </c>
      <c r="B369" t="s">
        <v>4216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3782</v>
      </c>
      <c r="B370" t="s">
        <v>4217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3783</v>
      </c>
      <c r="B371" t="s">
        <v>4218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3784</v>
      </c>
      <c r="B372" t="s">
        <v>4219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3785</v>
      </c>
      <c r="B373" t="s">
        <v>4220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3786</v>
      </c>
      <c r="B374" t="s">
        <v>4221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3787</v>
      </c>
      <c r="B375" t="s">
        <v>4222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3788</v>
      </c>
      <c r="B376" t="s">
        <v>4223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3789</v>
      </c>
      <c r="B377" t="s">
        <v>4224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3790</v>
      </c>
      <c r="B378" t="s">
        <v>4225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3791</v>
      </c>
      <c r="B379" t="s">
        <v>4226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3792</v>
      </c>
      <c r="B380" t="s">
        <v>4227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3793</v>
      </c>
      <c r="B381" t="s">
        <v>4228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3794</v>
      </c>
      <c r="B382" t="s">
        <v>4229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3795</v>
      </c>
      <c r="B383" t="s">
        <v>4230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3796</v>
      </c>
      <c r="B384" t="s">
        <v>4231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3797</v>
      </c>
      <c r="B385" t="s">
        <v>4232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3798</v>
      </c>
      <c r="B386" t="s">
        <v>4233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3799</v>
      </c>
      <c r="B387" t="s">
        <v>4234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3800</v>
      </c>
      <c r="B388" t="s">
        <v>4235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3801</v>
      </c>
      <c r="B389" t="s">
        <v>4236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3802</v>
      </c>
      <c r="B390" t="s">
        <v>4237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3803</v>
      </c>
      <c r="B391" t="s">
        <v>4238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3804</v>
      </c>
      <c r="B392" t="s">
        <v>4239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3805</v>
      </c>
      <c r="B393" t="s">
        <v>4240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3806</v>
      </c>
      <c r="B394" t="s">
        <v>4241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3807</v>
      </c>
      <c r="B395" t="s">
        <v>4242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3808</v>
      </c>
      <c r="B396" t="s">
        <v>4243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3809</v>
      </c>
      <c r="B397" t="s">
        <v>4244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3810</v>
      </c>
      <c r="B398" t="s">
        <v>4245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3811</v>
      </c>
      <c r="B399" t="s">
        <v>4246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3752</v>
      </c>
      <c r="B400" t="s">
        <v>2366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3753</v>
      </c>
      <c r="B401" t="s">
        <v>2367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3754</v>
      </c>
      <c r="B402" t="s">
        <v>2368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3755</v>
      </c>
      <c r="B403" t="s">
        <v>2369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3756</v>
      </c>
      <c r="B404" t="s">
        <v>2370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3757</v>
      </c>
      <c r="B405" t="s">
        <v>2371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3758</v>
      </c>
      <c r="B406" t="s">
        <v>2372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3759</v>
      </c>
      <c r="B407" t="s">
        <v>2373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3760</v>
      </c>
      <c r="B408" t="s">
        <v>2374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3761</v>
      </c>
      <c r="B409" t="s">
        <v>2375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3762</v>
      </c>
      <c r="B410" t="s">
        <v>2376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3763</v>
      </c>
      <c r="B411" t="s">
        <v>2377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3764</v>
      </c>
      <c r="B412" t="s">
        <v>2378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3765</v>
      </c>
      <c r="B413" t="s">
        <v>2379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3766</v>
      </c>
      <c r="B414" t="s">
        <v>2380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3767</v>
      </c>
      <c r="B415" t="s">
        <v>2381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3768</v>
      </c>
      <c r="B416" t="s">
        <v>2382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3769</v>
      </c>
      <c r="B417" t="s">
        <v>2383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3770</v>
      </c>
      <c r="B418" t="s">
        <v>2384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3771</v>
      </c>
      <c r="B419" t="s">
        <v>2385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3772</v>
      </c>
      <c r="B420" t="s">
        <v>2386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3773</v>
      </c>
      <c r="B421" t="s">
        <v>2387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3774</v>
      </c>
      <c r="B422" t="s">
        <v>2388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3775</v>
      </c>
      <c r="B423" t="s">
        <v>2389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3776</v>
      </c>
      <c r="B424" t="s">
        <v>2390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3777</v>
      </c>
      <c r="B425" t="s">
        <v>2391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3778</v>
      </c>
      <c r="B426" t="s">
        <v>2392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3779</v>
      </c>
      <c r="B427" t="s">
        <v>2393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3780</v>
      </c>
      <c r="B428" t="s">
        <v>2394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3781</v>
      </c>
      <c r="B429" t="s">
        <v>2395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3512</v>
      </c>
      <c r="B430" t="s">
        <v>2396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3513</v>
      </c>
      <c r="B431" t="s">
        <v>2397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3514</v>
      </c>
      <c r="B432" t="s">
        <v>2398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3515</v>
      </c>
      <c r="B433" t="s">
        <v>2399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3516</v>
      </c>
      <c r="B434" t="s">
        <v>2400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3517</v>
      </c>
      <c r="B435" t="s">
        <v>2401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3518</v>
      </c>
      <c r="B436" t="s">
        <v>2402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3519</v>
      </c>
      <c r="B437" t="s">
        <v>2403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3520</v>
      </c>
      <c r="B438" t="s">
        <v>2404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3521</v>
      </c>
      <c r="B439" t="s">
        <v>2405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3522</v>
      </c>
      <c r="B440" t="s">
        <v>2406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3523</v>
      </c>
      <c r="B441" t="s">
        <v>2407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3524</v>
      </c>
      <c r="B442" t="s">
        <v>2408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3525</v>
      </c>
      <c r="B443" t="s">
        <v>2409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3526</v>
      </c>
      <c r="B444" t="s">
        <v>2410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3527</v>
      </c>
      <c r="B445" t="s">
        <v>2411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3528</v>
      </c>
      <c r="B446" t="s">
        <v>2412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3529</v>
      </c>
      <c r="B447" t="s">
        <v>2413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3530</v>
      </c>
      <c r="B448" t="s">
        <v>2414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3531</v>
      </c>
      <c r="B449" t="s">
        <v>2415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3532</v>
      </c>
      <c r="B450" t="s">
        <v>2416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3533</v>
      </c>
      <c r="B451" t="s">
        <v>2417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3534</v>
      </c>
      <c r="B452" t="s">
        <v>2418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3535</v>
      </c>
      <c r="B453" t="s">
        <v>2419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3536</v>
      </c>
      <c r="B454" t="s">
        <v>2420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3537</v>
      </c>
      <c r="B455" t="s">
        <v>2421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3538</v>
      </c>
      <c r="B456" t="s">
        <v>2422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3539</v>
      </c>
      <c r="B457" t="s">
        <v>2423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3540</v>
      </c>
      <c r="B458" t="s">
        <v>2424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3541</v>
      </c>
      <c r="B459" t="s">
        <v>2425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4247</v>
      </c>
      <c r="B460" t="s">
        <v>2426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4248</v>
      </c>
      <c r="B461" t="s">
        <v>2427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4249</v>
      </c>
      <c r="B462" t="s">
        <v>2428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4250</v>
      </c>
      <c r="B463" t="s">
        <v>2429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4251</v>
      </c>
      <c r="B464" t="s">
        <v>2430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4252</v>
      </c>
      <c r="B465" t="s">
        <v>2431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4253</v>
      </c>
      <c r="B466" t="s">
        <v>2432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4254</v>
      </c>
      <c r="B467" t="s">
        <v>2433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4255</v>
      </c>
      <c r="B468" t="s">
        <v>2434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4256</v>
      </c>
      <c r="B469" t="s">
        <v>2435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4257</v>
      </c>
      <c r="B470" t="s">
        <v>2436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4258</v>
      </c>
      <c r="B471" t="s">
        <v>2437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4259</v>
      </c>
      <c r="B472" t="s">
        <v>2438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4260</v>
      </c>
      <c r="B473" t="s">
        <v>2439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4261</v>
      </c>
      <c r="B474" t="s">
        <v>2440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4262</v>
      </c>
      <c r="B475" t="s">
        <v>2441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4263</v>
      </c>
      <c r="B476" t="s">
        <v>2442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4264</v>
      </c>
      <c r="B477" t="s">
        <v>2443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4265</v>
      </c>
      <c r="B478" t="s">
        <v>2444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4266</v>
      </c>
      <c r="B479" t="s">
        <v>2445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4267</v>
      </c>
      <c r="B480" t="s">
        <v>2446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4268</v>
      </c>
      <c r="B481" t="s">
        <v>2447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4269</v>
      </c>
      <c r="B482" t="s">
        <v>2448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4270</v>
      </c>
      <c r="B483" t="s">
        <v>2449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4271</v>
      </c>
      <c r="B484" t="s">
        <v>2450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4272</v>
      </c>
      <c r="B485" t="s">
        <v>2451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4273</v>
      </c>
      <c r="B486" t="s">
        <v>2452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4274</v>
      </c>
      <c r="B487" t="s">
        <v>2453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4275</v>
      </c>
      <c r="B488" t="s">
        <v>2454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4276</v>
      </c>
      <c r="B489" t="s">
        <v>2455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3842</v>
      </c>
      <c r="B490" t="s">
        <v>2456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3843</v>
      </c>
      <c r="B491" t="s">
        <v>2457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3844</v>
      </c>
      <c r="B492" t="s">
        <v>2458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3845</v>
      </c>
      <c r="B493" t="s">
        <v>2459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3846</v>
      </c>
      <c r="B494" t="s">
        <v>2460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3847</v>
      </c>
      <c r="B495" t="s">
        <v>2461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3848</v>
      </c>
      <c r="B496" t="s">
        <v>2462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3849</v>
      </c>
      <c r="B497" t="s">
        <v>2463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3850</v>
      </c>
      <c r="B498" t="s">
        <v>2464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3851</v>
      </c>
      <c r="B499" t="s">
        <v>2465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3852</v>
      </c>
      <c r="B500" t="s">
        <v>2466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3853</v>
      </c>
      <c r="B501" t="s">
        <v>2467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3854</v>
      </c>
      <c r="B502" t="s">
        <v>2468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3855</v>
      </c>
      <c r="B503" t="s">
        <v>2469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3856</v>
      </c>
      <c r="B504" t="s">
        <v>2470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3857</v>
      </c>
      <c r="B505" t="s">
        <v>2471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3858</v>
      </c>
      <c r="B506" t="s">
        <v>2472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3859</v>
      </c>
      <c r="B507" t="s">
        <v>2473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3860</v>
      </c>
      <c r="B508" t="s">
        <v>2474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3861</v>
      </c>
      <c r="B509" t="s">
        <v>2475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3862</v>
      </c>
      <c r="B510" t="s">
        <v>2476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3863</v>
      </c>
      <c r="B511" t="s">
        <v>2477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3864</v>
      </c>
      <c r="B512" t="s">
        <v>2478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3865</v>
      </c>
      <c r="B513" t="s">
        <v>2479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3866</v>
      </c>
      <c r="B514" t="s">
        <v>2480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3867</v>
      </c>
      <c r="B515" t="s">
        <v>2481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3868</v>
      </c>
      <c r="B516" t="s">
        <v>2482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3869</v>
      </c>
      <c r="B517" t="s">
        <v>2483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3870</v>
      </c>
      <c r="B518" t="s">
        <v>2484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3871</v>
      </c>
      <c r="B519" t="s">
        <v>2485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3872</v>
      </c>
      <c r="B520" t="s">
        <v>2486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3873</v>
      </c>
      <c r="B521" t="s">
        <v>2487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3874</v>
      </c>
      <c r="B522" t="s">
        <v>2488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3875</v>
      </c>
      <c r="B523" t="s">
        <v>2489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3876</v>
      </c>
      <c r="B524" t="s">
        <v>2490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3877</v>
      </c>
      <c r="B525" t="s">
        <v>2491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3878</v>
      </c>
      <c r="B526" t="s">
        <v>2492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3879</v>
      </c>
      <c r="B527" t="s">
        <v>2493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3880</v>
      </c>
      <c r="B528" t="s">
        <v>2494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3881</v>
      </c>
      <c r="B529" t="s">
        <v>2495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3882</v>
      </c>
      <c r="B530" t="s">
        <v>2496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3883</v>
      </c>
      <c r="B531" t="s">
        <v>2497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3884</v>
      </c>
      <c r="B532" t="s">
        <v>2498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3885</v>
      </c>
      <c r="B533" t="s">
        <v>2499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3886</v>
      </c>
      <c r="B534" t="s">
        <v>2500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3887</v>
      </c>
      <c r="B535" t="s">
        <v>2501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3888</v>
      </c>
      <c r="B536" t="s">
        <v>2502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3889</v>
      </c>
      <c r="B537" t="s">
        <v>2503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3890</v>
      </c>
      <c r="B538" t="s">
        <v>2504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3891</v>
      </c>
      <c r="B539" t="s">
        <v>2505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3892</v>
      </c>
      <c r="B540" t="s">
        <v>2506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3893</v>
      </c>
      <c r="B541" t="s">
        <v>2507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3894</v>
      </c>
      <c r="B542" t="s">
        <v>2508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3895</v>
      </c>
      <c r="B543" t="s">
        <v>2509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3896</v>
      </c>
      <c r="B544" t="s">
        <v>2510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3897</v>
      </c>
      <c r="B545" t="s">
        <v>2511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3898</v>
      </c>
      <c r="B546" t="s">
        <v>2512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3899</v>
      </c>
      <c r="B547" t="s">
        <v>2513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3900</v>
      </c>
      <c r="B548" t="s">
        <v>2514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3901</v>
      </c>
      <c r="B549" t="s">
        <v>2515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3662</v>
      </c>
      <c r="B550" t="s">
        <v>4281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3663</v>
      </c>
      <c r="B551" t="s">
        <v>4282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3664</v>
      </c>
      <c r="B552" t="s">
        <v>4283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3665</v>
      </c>
      <c r="B553" t="s">
        <v>4284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3666</v>
      </c>
      <c r="B554" t="s">
        <v>4285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3667</v>
      </c>
      <c r="B555" t="s">
        <v>4286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3668</v>
      </c>
      <c r="B556" t="s">
        <v>4287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3669</v>
      </c>
      <c r="B557" t="s">
        <v>4288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3670</v>
      </c>
      <c r="B558" t="s">
        <v>4289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3671</v>
      </c>
      <c r="B559" t="s">
        <v>4290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3672</v>
      </c>
      <c r="B560" t="s">
        <v>4291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3673</v>
      </c>
      <c r="B561" t="s">
        <v>4292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3674</v>
      </c>
      <c r="B562" t="s">
        <v>4293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3675</v>
      </c>
      <c r="B563" t="s">
        <v>4294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3676</v>
      </c>
      <c r="B564" t="s">
        <v>4295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3677</v>
      </c>
      <c r="B565" t="s">
        <v>4296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3678</v>
      </c>
      <c r="B566" t="s">
        <v>4297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3679</v>
      </c>
      <c r="B567" t="s">
        <v>4298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3680</v>
      </c>
      <c r="B568" t="s">
        <v>4299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3681</v>
      </c>
      <c r="B569" t="s">
        <v>4300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3682</v>
      </c>
      <c r="B570" t="s">
        <v>4301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3683</v>
      </c>
      <c r="B571" t="s">
        <v>4302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3684</v>
      </c>
      <c r="B572" t="s">
        <v>4303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3685</v>
      </c>
      <c r="B573" t="s">
        <v>4304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3686</v>
      </c>
      <c r="B574" t="s">
        <v>4305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3687</v>
      </c>
      <c r="B575" t="s">
        <v>4306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3688</v>
      </c>
      <c r="B576" t="s">
        <v>4307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3689</v>
      </c>
      <c r="B577" t="s">
        <v>4308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3690</v>
      </c>
      <c r="B578" t="s">
        <v>4309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3691</v>
      </c>
      <c r="B579" t="s">
        <v>4310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311" customFormat="1" x14ac:dyDescent="0.2">
      <c r="A580" t="s">
        <v>5092</v>
      </c>
      <c r="B580" t="s">
        <v>5093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311" customFormat="1" x14ac:dyDescent="0.2">
      <c r="A581" t="s">
        <v>5094</v>
      </c>
      <c r="B581" t="s">
        <v>5095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311" customFormat="1" x14ac:dyDescent="0.2">
      <c r="A582" t="s">
        <v>5096</v>
      </c>
      <c r="B582" t="s">
        <v>5097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311" customFormat="1" x14ac:dyDescent="0.2">
      <c r="A583" t="s">
        <v>5098</v>
      </c>
      <c r="B583" t="s">
        <v>5099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311" customFormat="1" x14ac:dyDescent="0.2">
      <c r="A584" t="s">
        <v>5100</v>
      </c>
      <c r="B584" t="s">
        <v>5101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311" customFormat="1" x14ac:dyDescent="0.2">
      <c r="A585" t="s">
        <v>5102</v>
      </c>
      <c r="B585" t="s">
        <v>5103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311" customFormat="1" x14ac:dyDescent="0.2">
      <c r="A586" t="s">
        <v>5104</v>
      </c>
      <c r="B586" t="s">
        <v>5105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311" customFormat="1" x14ac:dyDescent="0.2">
      <c r="A587" t="s">
        <v>5106</v>
      </c>
      <c r="B587" t="s">
        <v>5107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311" customFormat="1" x14ac:dyDescent="0.2">
      <c r="A588" t="s">
        <v>5108</v>
      </c>
      <c r="B588" t="s">
        <v>5109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311" customFormat="1" x14ac:dyDescent="0.2">
      <c r="A589" t="s">
        <v>5110</v>
      </c>
      <c r="B589" t="s">
        <v>5111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311" customFormat="1" x14ac:dyDescent="0.2">
      <c r="A590" t="s">
        <v>5112</v>
      </c>
      <c r="B590" t="s">
        <v>5113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311" customFormat="1" x14ac:dyDescent="0.2">
      <c r="A591" t="s">
        <v>5114</v>
      </c>
      <c r="B591" t="s">
        <v>5115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311" customFormat="1" x14ac:dyDescent="0.2">
      <c r="A592" t="s">
        <v>4377</v>
      </c>
      <c r="B592" t="s">
        <v>4707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311" customFormat="1" x14ac:dyDescent="0.2">
      <c r="A593" t="s">
        <v>5116</v>
      </c>
      <c r="B593" t="s">
        <v>4708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311" customFormat="1" x14ac:dyDescent="0.2">
      <c r="A594" t="s">
        <v>4378</v>
      </c>
      <c r="B594" t="s">
        <v>4709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311" customFormat="1" x14ac:dyDescent="0.2">
      <c r="A595" t="s">
        <v>4379</v>
      </c>
      <c r="B595" t="s">
        <v>4710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311" customFormat="1" x14ac:dyDescent="0.2">
      <c r="A596" t="s">
        <v>4380</v>
      </c>
      <c r="B596" t="s">
        <v>4711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311" customFormat="1" x14ac:dyDescent="0.2">
      <c r="A597" t="s">
        <v>4381</v>
      </c>
      <c r="B597" t="s">
        <v>4712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311" customFormat="1" x14ac:dyDescent="0.2">
      <c r="A598" t="s">
        <v>4382</v>
      </c>
      <c r="B598" t="s">
        <v>4713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311" customFormat="1" x14ac:dyDescent="0.2">
      <c r="A599" t="s">
        <v>4383</v>
      </c>
      <c r="B599" t="s">
        <v>4714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311" customFormat="1" x14ac:dyDescent="0.2">
      <c r="A600" t="s">
        <v>4384</v>
      </c>
      <c r="B600" t="s">
        <v>4715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311" customFormat="1" x14ac:dyDescent="0.2">
      <c r="A601" t="s">
        <v>4385</v>
      </c>
      <c r="B601" t="s">
        <v>4716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311" customFormat="1" x14ac:dyDescent="0.2">
      <c r="A602" t="s">
        <v>4386</v>
      </c>
      <c r="B602" t="s">
        <v>4717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s="311" customFormat="1" x14ac:dyDescent="0.2">
      <c r="A603" t="s">
        <v>4387</v>
      </c>
      <c r="B603" t="s">
        <v>4718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311" customFormat="1" x14ac:dyDescent="0.2">
      <c r="A604" t="s">
        <v>4388</v>
      </c>
      <c r="B604" t="s">
        <v>4719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311" customFormat="1" x14ac:dyDescent="0.2">
      <c r="A605" t="s">
        <v>4389</v>
      </c>
      <c r="B605" t="s">
        <v>4720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311" customFormat="1" x14ac:dyDescent="0.2">
      <c r="A606" t="s">
        <v>4390</v>
      </c>
      <c r="B606" t="s">
        <v>4721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311" customFormat="1" x14ac:dyDescent="0.2">
      <c r="A607" t="s">
        <v>4391</v>
      </c>
      <c r="B607" t="s">
        <v>4722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311" customFormat="1" x14ac:dyDescent="0.2">
      <c r="A608" t="s">
        <v>4392</v>
      </c>
      <c r="B608" t="s">
        <v>4723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311" customFormat="1" x14ac:dyDescent="0.2">
      <c r="A609" t="s">
        <v>4393</v>
      </c>
      <c r="B609" t="s">
        <v>4724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311" customFormat="1" x14ac:dyDescent="0.2">
      <c r="A610" t="s">
        <v>4394</v>
      </c>
      <c r="B610" t="s">
        <v>4725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311" customFormat="1" x14ac:dyDescent="0.2">
      <c r="A611" t="s">
        <v>4395</v>
      </c>
      <c r="B611" t="s">
        <v>4726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1</v>
      </c>
      <c r="I611" t="b">
        <v>0</v>
      </c>
    </row>
    <row r="612" spans="1:9" s="311" customFormat="1" x14ac:dyDescent="0.2">
      <c r="A612" t="s">
        <v>4396</v>
      </c>
      <c r="B612" t="s">
        <v>4727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1</v>
      </c>
      <c r="I612" t="b">
        <v>0</v>
      </c>
    </row>
    <row r="613" spans="1:9" s="311" customFormat="1" x14ac:dyDescent="0.2">
      <c r="A613" t="s">
        <v>4397</v>
      </c>
      <c r="B613" t="s">
        <v>4728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1</v>
      </c>
      <c r="I613" t="b">
        <v>0</v>
      </c>
    </row>
    <row r="614" spans="1:9" s="311" customFormat="1" x14ac:dyDescent="0.2">
      <c r="A614" t="s">
        <v>4398</v>
      </c>
      <c r="B614" t="s">
        <v>4729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s="311" customFormat="1" x14ac:dyDescent="0.2">
      <c r="A615" t="s">
        <v>4399</v>
      </c>
      <c r="B615" t="s">
        <v>4730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311" customFormat="1" x14ac:dyDescent="0.2">
      <c r="A616" t="s">
        <v>4400</v>
      </c>
      <c r="B616" t="s">
        <v>4731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311" customFormat="1" x14ac:dyDescent="0.2">
      <c r="A617" t="s">
        <v>4401</v>
      </c>
      <c r="B617" t="s">
        <v>4732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311" customFormat="1" x14ac:dyDescent="0.2">
      <c r="A618" t="s">
        <v>4402</v>
      </c>
      <c r="B618" t="s">
        <v>4733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311" customFormat="1" x14ac:dyDescent="0.2">
      <c r="A619" t="s">
        <v>4403</v>
      </c>
      <c r="B619" t="s">
        <v>4734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311" customFormat="1" x14ac:dyDescent="0.2">
      <c r="A620" t="s">
        <v>4404</v>
      </c>
      <c r="B620" t="s">
        <v>4735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311" customFormat="1" x14ac:dyDescent="0.2">
      <c r="A621" t="s">
        <v>4405</v>
      </c>
      <c r="B621" t="s">
        <v>4736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311" customFormat="1" x14ac:dyDescent="0.2">
      <c r="A622" t="s">
        <v>4406</v>
      </c>
      <c r="B622" t="s">
        <v>4737</v>
      </c>
      <c r="C622"/>
      <c r="D622" t="b">
        <f>IFERROR(VLOOKUP(B622,PatData!$A$2:$A$2000,1,),"")&lt;&gt;""</f>
        <v>1</v>
      </c>
      <c r="E622">
        <v>1</v>
      </c>
      <c r="F622" t="b">
        <v>0</v>
      </c>
      <c r="G622" t="b">
        <v>1</v>
      </c>
      <c r="H622" t="b">
        <v>1</v>
      </c>
      <c r="I622" t="b">
        <v>0</v>
      </c>
    </row>
    <row r="623" spans="1:9" s="311" customFormat="1" x14ac:dyDescent="0.2">
      <c r="A623" t="s">
        <v>4407</v>
      </c>
      <c r="B623" t="s">
        <v>4738</v>
      </c>
      <c r="C623"/>
      <c r="D623" t="b">
        <f>IFERROR(VLOOKUP(B623,PatData!$A$2:$A$2000,1,),"")&lt;&gt;""</f>
        <v>1</v>
      </c>
      <c r="E623">
        <v>1</v>
      </c>
      <c r="F623" t="b">
        <v>0</v>
      </c>
      <c r="G623" t="b">
        <v>1</v>
      </c>
      <c r="H623" t="b">
        <v>1</v>
      </c>
      <c r="I623" t="b">
        <v>0</v>
      </c>
    </row>
    <row r="624" spans="1:9" s="311" customFormat="1" x14ac:dyDescent="0.2">
      <c r="A624" t="s">
        <v>4408</v>
      </c>
      <c r="B624" t="s">
        <v>4739</v>
      </c>
      <c r="C624"/>
      <c r="D624" t="b">
        <f>IFERROR(VLOOKUP(B624,PatData!$A$2:$A$2000,1,),"")&lt;&gt;""</f>
        <v>1</v>
      </c>
      <c r="E624">
        <v>1</v>
      </c>
      <c r="F624" t="b">
        <v>0</v>
      </c>
      <c r="G624" t="b">
        <v>1</v>
      </c>
      <c r="H624" t="b">
        <v>1</v>
      </c>
      <c r="I624" t="b">
        <v>0</v>
      </c>
    </row>
    <row r="625" spans="1:9" s="311" customFormat="1" x14ac:dyDescent="0.2">
      <c r="A625" t="s">
        <v>4409</v>
      </c>
      <c r="B625" t="s">
        <v>4740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311" customFormat="1" x14ac:dyDescent="0.2">
      <c r="A626" t="s">
        <v>4410</v>
      </c>
      <c r="B626" t="s">
        <v>4741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311" customFormat="1" x14ac:dyDescent="0.2">
      <c r="A627" t="s">
        <v>4411</v>
      </c>
      <c r="B627" t="s">
        <v>4742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311" customFormat="1" x14ac:dyDescent="0.2">
      <c r="A628" t="s">
        <v>4412</v>
      </c>
      <c r="B628" t="s">
        <v>4743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311" customFormat="1" x14ac:dyDescent="0.2">
      <c r="A629" t="s">
        <v>4413</v>
      </c>
      <c r="B629" t="s">
        <v>4744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311" customFormat="1" x14ac:dyDescent="0.2">
      <c r="A630" t="s">
        <v>4414</v>
      </c>
      <c r="B630" t="s">
        <v>4745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311" customFormat="1" x14ac:dyDescent="0.2">
      <c r="A631" t="s">
        <v>4415</v>
      </c>
      <c r="B631" t="s">
        <v>4746</v>
      </c>
      <c r="C631"/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311" customFormat="1" x14ac:dyDescent="0.2">
      <c r="A632" t="s">
        <v>4416</v>
      </c>
      <c r="B632" t="s">
        <v>4747</v>
      </c>
      <c r="C632"/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311" customFormat="1" x14ac:dyDescent="0.2">
      <c r="A633" t="s">
        <v>4417</v>
      </c>
      <c r="B633" t="s">
        <v>4748</v>
      </c>
      <c r="C633"/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311" customFormat="1" x14ac:dyDescent="0.2">
      <c r="A634" t="s">
        <v>4418</v>
      </c>
      <c r="B634" t="s">
        <v>4749</v>
      </c>
      <c r="C634"/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311" customFormat="1" x14ac:dyDescent="0.2">
      <c r="A635" t="s">
        <v>4419</v>
      </c>
      <c r="B635" t="s">
        <v>4750</v>
      </c>
      <c r="C635"/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311" customFormat="1" x14ac:dyDescent="0.2">
      <c r="A636" t="s">
        <v>4420</v>
      </c>
      <c r="B636" t="s">
        <v>4751</v>
      </c>
      <c r="C636"/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311" customFormat="1" x14ac:dyDescent="0.2">
      <c r="A637" t="s">
        <v>4421</v>
      </c>
      <c r="B637" t="s">
        <v>4752</v>
      </c>
      <c r="C637"/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311" customFormat="1" x14ac:dyDescent="0.2">
      <c r="A638" t="s">
        <v>4422</v>
      </c>
      <c r="B638" t="s">
        <v>4753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311" customFormat="1" x14ac:dyDescent="0.2">
      <c r="A639" t="s">
        <v>4423</v>
      </c>
      <c r="B639" t="s">
        <v>4754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311" customFormat="1" x14ac:dyDescent="0.2">
      <c r="A640" t="s">
        <v>4424</v>
      </c>
      <c r="B640" t="s">
        <v>4755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311" customFormat="1" x14ac:dyDescent="0.2">
      <c r="A641" t="s">
        <v>4425</v>
      </c>
      <c r="B641" t="s">
        <v>4756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311" customFormat="1" x14ac:dyDescent="0.2">
      <c r="A642" t="s">
        <v>4426</v>
      </c>
      <c r="B642" t="s">
        <v>4757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311" customFormat="1" x14ac:dyDescent="0.2">
      <c r="A643" t="s">
        <v>4427</v>
      </c>
      <c r="B643" t="s">
        <v>4758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311" customFormat="1" x14ac:dyDescent="0.2">
      <c r="A644" t="s">
        <v>4428</v>
      </c>
      <c r="B644" t="s">
        <v>4759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311" customFormat="1" x14ac:dyDescent="0.2">
      <c r="A645" t="s">
        <v>4429</v>
      </c>
      <c r="B645" t="s">
        <v>4760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311" customFormat="1" x14ac:dyDescent="0.2">
      <c r="A646" t="s">
        <v>4430</v>
      </c>
      <c r="B646" t="s">
        <v>4761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311" customFormat="1" x14ac:dyDescent="0.2">
      <c r="A647" t="s">
        <v>4431</v>
      </c>
      <c r="B647" t="s">
        <v>4762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311" customFormat="1" x14ac:dyDescent="0.2">
      <c r="A648" t="s">
        <v>4432</v>
      </c>
      <c r="B648" t="s">
        <v>4763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311" customFormat="1" x14ac:dyDescent="0.2">
      <c r="A649" t="s">
        <v>4433</v>
      </c>
      <c r="B649" t="s">
        <v>4764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311" customFormat="1" x14ac:dyDescent="0.2">
      <c r="A650" t="s">
        <v>4434</v>
      </c>
      <c r="B650" t="s">
        <v>4765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311" customFormat="1" x14ac:dyDescent="0.2">
      <c r="A651" t="s">
        <v>4435</v>
      </c>
      <c r="B651" t="s">
        <v>4766</v>
      </c>
      <c r="C651"/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311" customFormat="1" x14ac:dyDescent="0.2">
      <c r="A652" t="s">
        <v>4436</v>
      </c>
      <c r="B652" t="s">
        <v>4767</v>
      </c>
      <c r="C652"/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311" customFormat="1" x14ac:dyDescent="0.2">
      <c r="A653" t="s">
        <v>4437</v>
      </c>
      <c r="B653" t="s">
        <v>4768</v>
      </c>
      <c r="C653"/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311" customFormat="1" x14ac:dyDescent="0.2">
      <c r="A654" t="s">
        <v>4438</v>
      </c>
      <c r="B654" t="s">
        <v>4769</v>
      </c>
      <c r="C654"/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311" customFormat="1" x14ac:dyDescent="0.2">
      <c r="A655" t="s">
        <v>4439</v>
      </c>
      <c r="B655" t="s">
        <v>4770</v>
      </c>
      <c r="C655"/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311" customFormat="1" x14ac:dyDescent="0.2">
      <c r="A656" t="s">
        <v>4440</v>
      </c>
      <c r="B656" t="s">
        <v>4771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311" customFormat="1" x14ac:dyDescent="0.2">
      <c r="A657" t="s">
        <v>4441</v>
      </c>
      <c r="B657" t="s">
        <v>4772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311" customFormat="1" x14ac:dyDescent="0.2">
      <c r="A658" t="s">
        <v>4442</v>
      </c>
      <c r="B658" t="s">
        <v>4773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311" customFormat="1" x14ac:dyDescent="0.2">
      <c r="A659" t="s">
        <v>4443</v>
      </c>
      <c r="B659" t="s">
        <v>4774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311" customFormat="1" x14ac:dyDescent="0.2">
      <c r="A660" t="s">
        <v>4444</v>
      </c>
      <c r="B660" t="s">
        <v>4775</v>
      </c>
      <c r="C660"/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311" customFormat="1" x14ac:dyDescent="0.2">
      <c r="A661" t="s">
        <v>4445</v>
      </c>
      <c r="B661" t="s">
        <v>4776</v>
      </c>
      <c r="C661"/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311" customFormat="1" x14ac:dyDescent="0.2">
      <c r="A662" t="s">
        <v>4446</v>
      </c>
      <c r="B662" t="s">
        <v>4777</v>
      </c>
      <c r="C662"/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311" customFormat="1" x14ac:dyDescent="0.2">
      <c r="A663" t="s">
        <v>4447</v>
      </c>
      <c r="B663" t="s">
        <v>4778</v>
      </c>
      <c r="C663"/>
      <c r="D663" t="b">
        <f>IFERROR(VLOOKUP(B663,PatData!$A$2:$A$2000,1,),"")&lt;&gt;""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311" customFormat="1" x14ac:dyDescent="0.2">
      <c r="A664" t="s">
        <v>4448</v>
      </c>
      <c r="B664" t="s">
        <v>4779</v>
      </c>
      <c r="C664"/>
      <c r="D664" t="b">
        <f>IFERROR(VLOOKUP(B664,PatData!$A$2:$A$2000,1,),"")&lt;&gt;""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s="311" customFormat="1" x14ac:dyDescent="0.2">
      <c r="A665" t="s">
        <v>4449</v>
      </c>
      <c r="B665" t="s">
        <v>4780</v>
      </c>
      <c r="C665"/>
      <c r="D665" t="b">
        <f>IFERROR(VLOOKUP(B665,PatData!$A$2:$A$2000,1,),"")&lt;&gt;""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s="311" customFormat="1" x14ac:dyDescent="0.2">
      <c r="A666" t="s">
        <v>4450</v>
      </c>
      <c r="B666" t="s">
        <v>4781</v>
      </c>
      <c r="C666"/>
      <c r="D666" t="b">
        <f>IFERROR(VLOOKUP(B666,PatData!$A$2:$A$2000,1,),"")&lt;&gt;""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s="311" customFormat="1" x14ac:dyDescent="0.2">
      <c r="A667" t="s">
        <v>4451</v>
      </c>
      <c r="B667" t="s">
        <v>4782</v>
      </c>
      <c r="C667"/>
      <c r="D667" t="b">
        <f>IFERROR(VLOOKUP(B667,PatData!$A$2:$A$2000,1,),"")&lt;&gt;""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s="311" customFormat="1" x14ac:dyDescent="0.2">
      <c r="A668" t="s">
        <v>4452</v>
      </c>
      <c r="B668" t="s">
        <v>4783</v>
      </c>
      <c r="C668"/>
      <c r="D668" t="b">
        <f>IFERROR(VLOOKUP(B668,PatData!$A$2:$A$2000,1,),"")&lt;&gt;""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s="311" customFormat="1" x14ac:dyDescent="0.2">
      <c r="A669" t="s">
        <v>4453</v>
      </c>
      <c r="B669" t="s">
        <v>4784</v>
      </c>
      <c r="C669"/>
      <c r="D669" t="b">
        <f>IFERROR(VLOOKUP(B669,PatData!$A$2:$A$2000,1,),"")&lt;&gt;""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s="311" customFormat="1" x14ac:dyDescent="0.2">
      <c r="A670" t="s">
        <v>4454</v>
      </c>
      <c r="B670" t="s">
        <v>4785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311" customFormat="1" x14ac:dyDescent="0.2">
      <c r="A671" t="s">
        <v>4455</v>
      </c>
      <c r="B671" t="s">
        <v>4786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311" customFormat="1" x14ac:dyDescent="0.2">
      <c r="A672" t="s">
        <v>4456</v>
      </c>
      <c r="B672" t="s">
        <v>4787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311" customFormat="1" x14ac:dyDescent="0.2">
      <c r="A673" t="s">
        <v>5117</v>
      </c>
      <c r="B673" t="s">
        <v>4788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311" customFormat="1" x14ac:dyDescent="0.2">
      <c r="A674" t="s">
        <v>5118</v>
      </c>
      <c r="B674" t="s">
        <v>4789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311" customFormat="1" x14ac:dyDescent="0.2">
      <c r="A675" t="s">
        <v>4457</v>
      </c>
      <c r="B675" t="s">
        <v>4790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311" customFormat="1" x14ac:dyDescent="0.2">
      <c r="A676" t="s">
        <v>4458</v>
      </c>
      <c r="B676" t="s">
        <v>4791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311" customFormat="1" x14ac:dyDescent="0.2">
      <c r="A677" t="s">
        <v>4459</v>
      </c>
      <c r="B677" t="s">
        <v>4792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311" customFormat="1" x14ac:dyDescent="0.2">
      <c r="A678" t="s">
        <v>4460</v>
      </c>
      <c r="B678" t="s">
        <v>4793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311" customFormat="1" x14ac:dyDescent="0.2">
      <c r="A679" t="s">
        <v>4461</v>
      </c>
      <c r="B679" t="s">
        <v>4794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311" customFormat="1" x14ac:dyDescent="0.2">
      <c r="A680" t="s">
        <v>4462</v>
      </c>
      <c r="B680" t="s">
        <v>4795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311" customFormat="1" x14ac:dyDescent="0.2">
      <c r="A681" t="s">
        <v>4463</v>
      </c>
      <c r="B681" t="s">
        <v>4796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311" customFormat="1" x14ac:dyDescent="0.2">
      <c r="A682" t="s">
        <v>4464</v>
      </c>
      <c r="B682" t="s">
        <v>4797</v>
      </c>
      <c r="C682"/>
      <c r="D682" t="b">
        <f>IFERROR(VLOOKUP(B682,PatData!$A$2:$A$2000,1,),"")&lt;&gt;""</f>
        <v>1</v>
      </c>
      <c r="E682">
        <v>5000</v>
      </c>
      <c r="F682" t="b">
        <v>0</v>
      </c>
      <c r="G682" t="b">
        <v>1</v>
      </c>
      <c r="H682" t="b">
        <v>1</v>
      </c>
      <c r="I682" t="b">
        <v>0</v>
      </c>
    </row>
    <row r="683" spans="1:9" s="311" customFormat="1" x14ac:dyDescent="0.2">
      <c r="A683" t="s">
        <v>4465</v>
      </c>
      <c r="B683" t="s">
        <v>4798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311" customFormat="1" x14ac:dyDescent="0.2">
      <c r="A684" t="s">
        <v>4466</v>
      </c>
      <c r="B684" t="s">
        <v>4799</v>
      </c>
      <c r="C684"/>
      <c r="D684" t="b">
        <f>IFERROR(VLOOKUP(B684,PatData!$A$2:$A$2000,1,),"")&lt;&gt;""</f>
        <v>1</v>
      </c>
      <c r="E684">
        <v>2</v>
      </c>
      <c r="F684" t="b">
        <v>0</v>
      </c>
      <c r="G684" t="b">
        <v>1</v>
      </c>
      <c r="H684" t="b">
        <v>1</v>
      </c>
      <c r="I684" t="b">
        <v>0</v>
      </c>
    </row>
    <row r="685" spans="1:9" s="311" customFormat="1" x14ac:dyDescent="0.2">
      <c r="A685" t="s">
        <v>4467</v>
      </c>
      <c r="B685" t="s">
        <v>4800</v>
      </c>
      <c r="C685"/>
      <c r="D685" t="b">
        <f>IFERROR(VLOOKUP(B685,PatData!$A$2:$A$2000,1,),"")&lt;&gt;""</f>
        <v>1</v>
      </c>
      <c r="E685">
        <v>2</v>
      </c>
      <c r="F685" t="b">
        <v>0</v>
      </c>
      <c r="G685" t="b">
        <v>1</v>
      </c>
      <c r="H685" t="b">
        <v>1</v>
      </c>
      <c r="I685" t="b">
        <v>0</v>
      </c>
    </row>
    <row r="686" spans="1:9" s="311" customFormat="1" x14ac:dyDescent="0.2">
      <c r="A686" t="s">
        <v>4468</v>
      </c>
      <c r="B686" t="s">
        <v>4801</v>
      </c>
      <c r="C686"/>
      <c r="D686" t="b">
        <f>IFERROR(VLOOKUP(B686,PatData!$A$2:$A$2000,1,),"")&lt;&gt;""</f>
        <v>1</v>
      </c>
      <c r="E686">
        <v>5000</v>
      </c>
      <c r="F686" t="b">
        <v>0</v>
      </c>
      <c r="G686" t="b">
        <v>1</v>
      </c>
      <c r="H686" t="b">
        <v>1</v>
      </c>
      <c r="I686" t="b">
        <v>0</v>
      </c>
    </row>
    <row r="687" spans="1:9" s="311" customFormat="1" x14ac:dyDescent="0.2">
      <c r="A687" t="s">
        <v>4469</v>
      </c>
      <c r="B687" t="s">
        <v>4802</v>
      </c>
      <c r="C687"/>
      <c r="D687" t="b">
        <f>IFERROR(VLOOKUP(B687,PatData!$A$2:$A$2000,1,),"")&lt;&gt;""</f>
        <v>1</v>
      </c>
      <c r="E687">
        <v>5000</v>
      </c>
      <c r="F687" t="b">
        <v>0</v>
      </c>
      <c r="G687" t="b">
        <v>1</v>
      </c>
      <c r="H687" t="b">
        <v>1</v>
      </c>
      <c r="I687" t="b">
        <v>0</v>
      </c>
    </row>
    <row r="688" spans="1:9" s="311" customFormat="1" x14ac:dyDescent="0.2">
      <c r="A688" t="s">
        <v>4470</v>
      </c>
      <c r="B688" t="s">
        <v>4803</v>
      </c>
      <c r="C688"/>
      <c r="D688" t="b">
        <f>IFERROR(VLOOKUP(B688,PatData!$A$2:$A$2000,1,),"")&lt;&gt;""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311" customFormat="1" x14ac:dyDescent="0.2">
      <c r="A689" t="s">
        <v>4471</v>
      </c>
      <c r="B689" t="s">
        <v>4804</v>
      </c>
      <c r="C689"/>
      <c r="D689" t="b">
        <f>IFERROR(VLOOKUP(B689,PatData!$A$2:$A$2000,1,),"")&lt;&gt;""</f>
        <v>1</v>
      </c>
      <c r="E689">
        <v>5000</v>
      </c>
      <c r="F689" t="b">
        <v>0</v>
      </c>
      <c r="G689" t="b">
        <v>1</v>
      </c>
      <c r="H689" t="b">
        <v>1</v>
      </c>
      <c r="I689" t="b">
        <v>0</v>
      </c>
    </row>
    <row r="690" spans="1:9" s="311" customFormat="1" x14ac:dyDescent="0.2">
      <c r="A690" t="s">
        <v>4472</v>
      </c>
      <c r="B690" t="s">
        <v>4805</v>
      </c>
      <c r="C690"/>
      <c r="D690" t="b">
        <f>IFERROR(VLOOKUP(B690,PatData!$A$2:$A$2000,1,),"")&lt;&gt;""</f>
        <v>1</v>
      </c>
      <c r="E690">
        <v>5000</v>
      </c>
      <c r="F690" t="b">
        <v>0</v>
      </c>
      <c r="G690" t="b">
        <v>1</v>
      </c>
      <c r="H690" t="b">
        <v>1</v>
      </c>
      <c r="I690" t="b">
        <v>0</v>
      </c>
    </row>
    <row r="691" spans="1:9" s="311" customFormat="1" x14ac:dyDescent="0.2">
      <c r="A691" t="s">
        <v>4473</v>
      </c>
      <c r="B691" t="s">
        <v>4806</v>
      </c>
      <c r="C691"/>
      <c r="D691" t="b">
        <f>IFERROR(VLOOKUP(B691,PatData!$A$2:$A$2000,1,),"")&lt;&gt;""</f>
        <v>1</v>
      </c>
      <c r="E691">
        <v>5000</v>
      </c>
      <c r="F691" t="b">
        <v>0</v>
      </c>
      <c r="G691" t="b">
        <v>1</v>
      </c>
      <c r="H691" t="b">
        <v>1</v>
      </c>
      <c r="I691" t="b">
        <v>0</v>
      </c>
    </row>
    <row r="692" spans="1:9" s="311" customFormat="1" x14ac:dyDescent="0.2">
      <c r="A692" t="s">
        <v>4474</v>
      </c>
      <c r="B692" t="s">
        <v>4807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311" customFormat="1" x14ac:dyDescent="0.2">
      <c r="A693" t="s">
        <v>4475</v>
      </c>
      <c r="B693" t="s">
        <v>4808</v>
      </c>
      <c r="C693"/>
      <c r="D693" t="b">
        <f>IFERROR(VLOOKUP(B693,PatData!$A$2:$A$2000,1,),"")&lt;&gt;""</f>
        <v>1</v>
      </c>
      <c r="E693" t="b">
        <v>0</v>
      </c>
      <c r="F693" t="b">
        <v>0</v>
      </c>
      <c r="G693" t="b">
        <v>1</v>
      </c>
      <c r="H693" t="b">
        <v>1</v>
      </c>
      <c r="I693" t="b">
        <v>0</v>
      </c>
    </row>
    <row r="694" spans="1:9" s="311" customFormat="1" x14ac:dyDescent="0.2">
      <c r="A694" t="s">
        <v>4476</v>
      </c>
      <c r="B694" t="s">
        <v>4809</v>
      </c>
      <c r="C694"/>
      <c r="D694" t="b">
        <f>IFERROR(VLOOKUP(B694,PatData!$A$2:$A$2000,1,),"")&lt;&gt;""</f>
        <v>1</v>
      </c>
      <c r="E694">
        <v>5000</v>
      </c>
      <c r="F694" t="b">
        <v>0</v>
      </c>
      <c r="G694" t="b">
        <v>1</v>
      </c>
      <c r="H694" t="b">
        <v>1</v>
      </c>
      <c r="I694" t="b">
        <v>0</v>
      </c>
    </row>
    <row r="695" spans="1:9" s="311" customFormat="1" x14ac:dyDescent="0.2">
      <c r="A695" t="s">
        <v>4477</v>
      </c>
      <c r="B695" t="s">
        <v>4810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311" customFormat="1" x14ac:dyDescent="0.2">
      <c r="A696" t="s">
        <v>4478</v>
      </c>
      <c r="B696" t="s">
        <v>4811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1306</v>
      </c>
      <c r="B697" t="s">
        <v>1799</v>
      </c>
      <c r="D697" t="b">
        <f>IFERROR(VLOOKUP(B697,PatData!$A$2:$A$2000,1,),"")&lt;&gt;""</f>
        <v>1</v>
      </c>
      <c r="E697" t="b">
        <v>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1307</v>
      </c>
      <c r="B698" t="s">
        <v>1800</v>
      </c>
      <c r="D698" t="b">
        <f>IFERROR(VLOOKUP(B698,PatData!$A$2:$A$2000,1,),"")&lt;&gt;""</f>
        <v>1</v>
      </c>
      <c r="E698" t="b">
        <v>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1308</v>
      </c>
      <c r="B699" t="s">
        <v>1801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1309</v>
      </c>
      <c r="B700" t="s">
        <v>1802</v>
      </c>
      <c r="D700" t="b">
        <f>IFERROR(VLOOKUP(B700,PatData!$A$2:$A$2000,1,),"")&lt;&gt;""</f>
        <v>1</v>
      </c>
      <c r="E700" t="b">
        <v>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1310</v>
      </c>
      <c r="B701" t="s">
        <v>1803</v>
      </c>
      <c r="D701" t="b">
        <f>IFERROR(VLOOKUP(B701,PatData!$A$2:$A$2000,1,),"")&lt;&gt;""</f>
        <v>1</v>
      </c>
      <c r="E701" t="b">
        <v>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1311</v>
      </c>
      <c r="B702" t="s">
        <v>1804</v>
      </c>
      <c r="D702" t="b">
        <f>IFERROR(VLOOKUP(B702,PatData!$A$2:$A$2000,1,),"")&lt;&gt;""</f>
        <v>1</v>
      </c>
      <c r="E702" t="b">
        <v>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1312</v>
      </c>
      <c r="B703" t="s">
        <v>1805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1313</v>
      </c>
      <c r="B704" t="s">
        <v>1806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1314</v>
      </c>
      <c r="B705" t="s">
        <v>1807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1315</v>
      </c>
      <c r="B706" t="s">
        <v>1808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1316</v>
      </c>
      <c r="B707" t="s">
        <v>1809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1317</v>
      </c>
      <c r="B708" t="s">
        <v>1810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1318</v>
      </c>
      <c r="B709" t="s">
        <v>1811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1319</v>
      </c>
      <c r="B710" t="s">
        <v>1812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1320</v>
      </c>
      <c r="B711" t="s">
        <v>1813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1321</v>
      </c>
      <c r="B712" t="s">
        <v>1814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1322</v>
      </c>
      <c r="B713" t="s">
        <v>1815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1323</v>
      </c>
      <c r="B714" t="s">
        <v>1816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1324</v>
      </c>
      <c r="B715" t="s">
        <v>1817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1325</v>
      </c>
      <c r="B716" t="s">
        <v>1818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1326</v>
      </c>
      <c r="B717" t="s">
        <v>1819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1327</v>
      </c>
      <c r="B718" t="s">
        <v>1820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1328</v>
      </c>
      <c r="B719" t="s">
        <v>1821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1329</v>
      </c>
      <c r="B720" t="s">
        <v>1822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1330</v>
      </c>
      <c r="B721" t="s">
        <v>1823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1331</v>
      </c>
      <c r="B722" t="s">
        <v>1824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1332</v>
      </c>
      <c r="B723" t="s">
        <v>1825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1333</v>
      </c>
      <c r="B724" t="s">
        <v>1826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1334</v>
      </c>
      <c r="B725" t="s">
        <v>1827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1335</v>
      </c>
      <c r="B726" t="s">
        <v>1828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1336</v>
      </c>
      <c r="B727" t="s">
        <v>1829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1337</v>
      </c>
      <c r="B728" t="s">
        <v>1830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1338</v>
      </c>
      <c r="B729" t="s">
        <v>1831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1339</v>
      </c>
      <c r="B730" t="s">
        <v>1832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1340</v>
      </c>
      <c r="B731" t="s">
        <v>1833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1341</v>
      </c>
      <c r="B732" t="s">
        <v>1834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1342</v>
      </c>
      <c r="B733" t="s">
        <v>1835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1343</v>
      </c>
      <c r="B734" t="s">
        <v>1836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1344</v>
      </c>
      <c r="B735" t="s">
        <v>1837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1345</v>
      </c>
      <c r="B736" t="s">
        <v>1838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1346</v>
      </c>
      <c r="B737" t="s">
        <v>1839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1347</v>
      </c>
      <c r="B738" t="s">
        <v>1840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1348</v>
      </c>
      <c r="B739" t="s">
        <v>1841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1349</v>
      </c>
      <c r="B740" t="s">
        <v>1842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1350</v>
      </c>
      <c r="B741" t="s">
        <v>1843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1351</v>
      </c>
      <c r="B742" t="s">
        <v>1844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1352</v>
      </c>
      <c r="B743" t="s">
        <v>1845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1353</v>
      </c>
      <c r="B744" t="s">
        <v>1846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1354</v>
      </c>
      <c r="B745" t="s">
        <v>1847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1355</v>
      </c>
      <c r="B746" t="s">
        <v>1848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1356</v>
      </c>
      <c r="B747" t="s">
        <v>1849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1357</v>
      </c>
      <c r="B748" t="s">
        <v>1850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1358</v>
      </c>
      <c r="B749" t="s">
        <v>1851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1359</v>
      </c>
      <c r="B750" t="s">
        <v>1852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1360</v>
      </c>
      <c r="B751" t="s">
        <v>1853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1361</v>
      </c>
      <c r="B752" t="s">
        <v>1854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1362</v>
      </c>
      <c r="B753" t="s">
        <v>1855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1363</v>
      </c>
      <c r="B754" t="s">
        <v>1856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1364</v>
      </c>
      <c r="B755" t="s">
        <v>1857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1365</v>
      </c>
      <c r="B756" t="s">
        <v>1858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1366</v>
      </c>
      <c r="B757" t="s">
        <v>1859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1367</v>
      </c>
      <c r="B758" t="s">
        <v>1860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1368</v>
      </c>
      <c r="B759" t="s">
        <v>1861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1369</v>
      </c>
      <c r="B760" t="s">
        <v>1862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1370</v>
      </c>
      <c r="B761" t="s">
        <v>1863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1371</v>
      </c>
      <c r="B762" t="s">
        <v>1864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1372</v>
      </c>
      <c r="B763" t="s">
        <v>1865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1373</v>
      </c>
      <c r="B764" t="s">
        <v>1866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1374</v>
      </c>
      <c r="B765" t="s">
        <v>1867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1375</v>
      </c>
      <c r="B766" t="s">
        <v>1868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1376</v>
      </c>
      <c r="B767" t="s">
        <v>1869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1377</v>
      </c>
      <c r="B768" t="s">
        <v>1870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1378</v>
      </c>
      <c r="B769" t="s">
        <v>1871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1379</v>
      </c>
      <c r="B770" t="s">
        <v>1872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1380</v>
      </c>
      <c r="B771" t="s">
        <v>1873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1381</v>
      </c>
      <c r="B772" t="s">
        <v>1874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1382</v>
      </c>
      <c r="B773" t="s">
        <v>1875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1383</v>
      </c>
      <c r="B774" t="s">
        <v>1876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1384</v>
      </c>
      <c r="B775" t="s">
        <v>1877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1385</v>
      </c>
      <c r="B776" t="s">
        <v>1878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1386</v>
      </c>
      <c r="B777" t="s">
        <v>1879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1387</v>
      </c>
      <c r="B778" t="s">
        <v>1880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1388</v>
      </c>
      <c r="B779" t="s">
        <v>1881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1389</v>
      </c>
      <c r="B780" t="s">
        <v>1882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1390</v>
      </c>
      <c r="B781" t="s">
        <v>1883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1391</v>
      </c>
      <c r="B782" t="s">
        <v>1884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1305</v>
      </c>
      <c r="B783" t="s">
        <v>1798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1392</v>
      </c>
      <c r="B784" t="s">
        <v>1885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1393</v>
      </c>
      <c r="B785" t="s">
        <v>1886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1394</v>
      </c>
      <c r="B786" t="s">
        <v>1887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1395</v>
      </c>
      <c r="B787" t="s">
        <v>1888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1396</v>
      </c>
      <c r="B788" t="s">
        <v>1889</v>
      </c>
      <c r="D788" t="b">
        <f>IFERROR(VLOOKUP(B788,PatData!$A$2:$A$2000,1,),"")&lt;&gt;""</f>
        <v>1</v>
      </c>
      <c r="E788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1397</v>
      </c>
      <c r="B789" t="s">
        <v>1890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1398</v>
      </c>
      <c r="B790" t="s">
        <v>1891</v>
      </c>
      <c r="D790" t="b">
        <f>IFERROR(VLOOKUP(B790,PatData!$A$2:$A$2000,1,),"")&lt;&gt;""</f>
        <v>1</v>
      </c>
      <c r="E790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1399</v>
      </c>
      <c r="B791" t="s">
        <v>1892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1400</v>
      </c>
      <c r="B792" t="s">
        <v>1893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1401</v>
      </c>
      <c r="B793" t="s">
        <v>1894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1402</v>
      </c>
      <c r="B794" t="s">
        <v>1895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1403</v>
      </c>
      <c r="B795" t="s">
        <v>1896</v>
      </c>
      <c r="D795" t="b">
        <f>IFERROR(VLOOKUP(B795,PatData!$A$2:$A$2000,1,),"")&lt;&gt;""</f>
        <v>1</v>
      </c>
      <c r="E795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1404</v>
      </c>
      <c r="B796" t="s">
        <v>1897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1405</v>
      </c>
      <c r="B797" t="s">
        <v>1898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1406</v>
      </c>
      <c r="B798" t="s">
        <v>1899</v>
      </c>
      <c r="D798" t="b">
        <f>IFERROR(VLOOKUP(B798,PatData!$A$2:$A$2000,1,),"")&lt;&gt;""</f>
        <v>1</v>
      </c>
      <c r="E798"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1407</v>
      </c>
      <c r="B799" t="s">
        <v>1900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1408</v>
      </c>
      <c r="B800" t="s">
        <v>1901</v>
      </c>
      <c r="D800" t="b">
        <f>IFERROR(VLOOKUP(B800,PatData!$A$2:$A$2000,1,),"")&lt;&gt;""</f>
        <v>1</v>
      </c>
      <c r="E800">
        <v>1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1409</v>
      </c>
      <c r="B801" t="s">
        <v>1902</v>
      </c>
      <c r="D801" t="b">
        <f>IFERROR(VLOOKUP(B801,PatData!$A$2:$A$2000,1,),"")&lt;&gt;""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1410</v>
      </c>
      <c r="B802" t="s">
        <v>1903</v>
      </c>
      <c r="D802" t="b">
        <f>IFERROR(VLOOKUP(B802,PatData!$A$2:$A$2000,1,),"")&lt;&gt;""</f>
        <v>1</v>
      </c>
      <c r="E802">
        <v>1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1411</v>
      </c>
      <c r="B803" t="s">
        <v>1904</v>
      </c>
      <c r="D803" t="b">
        <f>IFERROR(VLOOKUP(B803,PatData!$A$2:$A$2000,1,),"")&lt;&gt;""</f>
        <v>1</v>
      </c>
      <c r="E803">
        <v>1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1412</v>
      </c>
      <c r="B804" t="s">
        <v>1905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1413</v>
      </c>
      <c r="B805" t="s">
        <v>1906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1414</v>
      </c>
      <c r="B806" t="s">
        <v>1907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1415</v>
      </c>
      <c r="B807" t="s">
        <v>1908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1416</v>
      </c>
      <c r="B808" t="s">
        <v>1909</v>
      </c>
      <c r="D808" t="b">
        <f>IFERROR(VLOOKUP(B808,PatData!$A$2:$A$2000,1,),"")&lt;&gt;""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1107</v>
      </c>
      <c r="B809" t="s">
        <v>1910</v>
      </c>
      <c r="D809" t="b">
        <f>IFERROR(VLOOKUP(B809,PatData!$A$2:$A$2000,1,),"")&lt;&gt;""</f>
        <v>1</v>
      </c>
      <c r="E809">
        <v>50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1305</v>
      </c>
      <c r="B810" t="s">
        <v>1911</v>
      </c>
      <c r="D810" t="b">
        <f>IFERROR(VLOOKUP(B810,PatData!$A$2:$A$2000,1,),"")&lt;&gt;""</f>
        <v>1</v>
      </c>
      <c r="E810" t="b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1107</v>
      </c>
      <c r="B811" t="s">
        <v>1786</v>
      </c>
      <c r="D811" t="b">
        <f>IFERROR(VLOOKUP(B811,PatData!$A$2:$A$2000,1,),"")&lt;&gt;""</f>
        <v>1</v>
      </c>
      <c r="E811">
        <v>50</v>
      </c>
      <c r="F811" t="b">
        <v>0</v>
      </c>
      <c r="G811" t="b">
        <v>1</v>
      </c>
      <c r="H811" t="b">
        <v>1</v>
      </c>
      <c r="I811" t="b">
        <v>0</v>
      </c>
    </row>
    <row r="812" spans="1:9" s="311" customFormat="1" x14ac:dyDescent="0.2">
      <c r="A812" t="s">
        <v>4479</v>
      </c>
      <c r="B812" t="s">
        <v>4812</v>
      </c>
      <c r="C812"/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311" customFormat="1" x14ac:dyDescent="0.2">
      <c r="A813" t="s">
        <v>5119</v>
      </c>
      <c r="B813" t="s">
        <v>4813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311" customFormat="1" x14ac:dyDescent="0.2">
      <c r="A814" t="s">
        <v>4480</v>
      </c>
      <c r="B814" t="s">
        <v>4814</v>
      </c>
      <c r="C814"/>
      <c r="D814" t="b">
        <f>IFERROR(VLOOKUP(B814,PatData!$A$2:$A$2000,1,),"")&lt;&gt;""</f>
        <v>1</v>
      </c>
      <c r="E814">
        <v>1</v>
      </c>
      <c r="F814" t="b">
        <v>0</v>
      </c>
      <c r="G814" t="b">
        <v>1</v>
      </c>
      <c r="H814" t="b">
        <v>1</v>
      </c>
      <c r="I814" t="b">
        <v>0</v>
      </c>
    </row>
    <row r="815" spans="1:9" s="311" customFormat="1" x14ac:dyDescent="0.2">
      <c r="A815" t="s">
        <v>4481</v>
      </c>
      <c r="B815" t="s">
        <v>4815</v>
      </c>
      <c r="C815"/>
      <c r="D815" t="b">
        <f>IFERROR(VLOOKUP(B815,PatData!$A$2:$A$2000,1,),"")&lt;&gt;""</f>
        <v>1</v>
      </c>
      <c r="E815">
        <v>1</v>
      </c>
      <c r="F815" t="b">
        <v>0</v>
      </c>
      <c r="G815" t="b">
        <v>1</v>
      </c>
      <c r="H815" t="b">
        <v>1</v>
      </c>
      <c r="I815" t="b">
        <v>0</v>
      </c>
    </row>
    <row r="816" spans="1:9" s="311" customFormat="1" x14ac:dyDescent="0.2">
      <c r="A816" t="s">
        <v>4482</v>
      </c>
      <c r="B816" t="s">
        <v>4816</v>
      </c>
      <c r="C816"/>
      <c r="D816" t="b">
        <f>IFERROR(VLOOKUP(B816,PatData!$A$2:$A$2000,1,),"")&lt;&gt;""</f>
        <v>1</v>
      </c>
      <c r="E816">
        <v>1</v>
      </c>
      <c r="F816" t="b">
        <v>0</v>
      </c>
      <c r="G816" t="b">
        <v>1</v>
      </c>
      <c r="H816" t="b">
        <v>1</v>
      </c>
      <c r="I816" t="b">
        <v>0</v>
      </c>
    </row>
    <row r="817" spans="1:9" s="311" customFormat="1" x14ac:dyDescent="0.2">
      <c r="A817" t="s">
        <v>4483</v>
      </c>
      <c r="B817" t="s">
        <v>4817</v>
      </c>
      <c r="C817"/>
      <c r="D817" t="b">
        <f>IFERROR(VLOOKUP(B817,PatData!$A$2:$A$2000,1,),"")&lt;&gt;""</f>
        <v>1</v>
      </c>
      <c r="E817">
        <v>1</v>
      </c>
      <c r="F817" t="b">
        <v>0</v>
      </c>
      <c r="G817" t="b">
        <v>1</v>
      </c>
      <c r="H817" t="b">
        <v>1</v>
      </c>
      <c r="I817" t="b">
        <v>0</v>
      </c>
    </row>
    <row r="818" spans="1:9" s="311" customFormat="1" x14ac:dyDescent="0.2">
      <c r="A818" t="s">
        <v>4484</v>
      </c>
      <c r="B818" t="s">
        <v>4818</v>
      </c>
      <c r="C818"/>
      <c r="D818" t="b">
        <f>IFERROR(VLOOKUP(B818,PatData!$A$2:$A$2000,1,),"")&lt;&gt;""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311" customFormat="1" x14ac:dyDescent="0.2">
      <c r="A819" t="s">
        <v>4485</v>
      </c>
      <c r="B819" t="s">
        <v>4819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311" customFormat="1" x14ac:dyDescent="0.2">
      <c r="A820" t="s">
        <v>4486</v>
      </c>
      <c r="B820" t="s">
        <v>4820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311" customFormat="1" x14ac:dyDescent="0.2">
      <c r="A821" t="s">
        <v>4487</v>
      </c>
      <c r="B821" t="s">
        <v>4821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311" customFormat="1" x14ac:dyDescent="0.2">
      <c r="A822" t="s">
        <v>4488</v>
      </c>
      <c r="B822" t="s">
        <v>4822</v>
      </c>
      <c r="C822"/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s="311" customFormat="1" x14ac:dyDescent="0.2">
      <c r="A823" t="s">
        <v>4489</v>
      </c>
      <c r="B823" t="s">
        <v>4823</v>
      </c>
      <c r="C823"/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s="311" customFormat="1" x14ac:dyDescent="0.2">
      <c r="A824" t="s">
        <v>4490</v>
      </c>
      <c r="B824" t="s">
        <v>4824</v>
      </c>
      <c r="C824"/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s="311" customFormat="1" x14ac:dyDescent="0.2">
      <c r="A825" t="s">
        <v>4491</v>
      </c>
      <c r="B825" t="s">
        <v>4825</v>
      </c>
      <c r="C825"/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s="311" customFormat="1" x14ac:dyDescent="0.2">
      <c r="A826" t="s">
        <v>4492</v>
      </c>
      <c r="B826" t="s">
        <v>4826</v>
      </c>
      <c r="C826"/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s="311" customFormat="1" x14ac:dyDescent="0.2">
      <c r="A827" t="s">
        <v>4493</v>
      </c>
      <c r="B827" t="s">
        <v>4827</v>
      </c>
      <c r="C827"/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s="311" customFormat="1" x14ac:dyDescent="0.2">
      <c r="A828" t="s">
        <v>4494</v>
      </c>
      <c r="B828" t="s">
        <v>4828</v>
      </c>
      <c r="C828"/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311" customFormat="1" x14ac:dyDescent="0.2">
      <c r="A829" t="s">
        <v>4495</v>
      </c>
      <c r="B829" t="s">
        <v>4829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311" customFormat="1" x14ac:dyDescent="0.2">
      <c r="A830" t="s">
        <v>4496</v>
      </c>
      <c r="B830" t="s">
        <v>4830</v>
      </c>
      <c r="C830"/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311" customFormat="1" x14ac:dyDescent="0.2">
      <c r="A831" t="s">
        <v>4497</v>
      </c>
      <c r="B831" t="s">
        <v>4831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1</v>
      </c>
      <c r="I831" t="b">
        <v>0</v>
      </c>
    </row>
    <row r="832" spans="1:9" s="311" customFormat="1" x14ac:dyDescent="0.2">
      <c r="A832" t="s">
        <v>4498</v>
      </c>
      <c r="B832" t="s">
        <v>4832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1</v>
      </c>
      <c r="I832" t="b">
        <v>0</v>
      </c>
    </row>
    <row r="833" spans="1:9" s="311" customFormat="1" x14ac:dyDescent="0.2">
      <c r="A833" t="s">
        <v>4499</v>
      </c>
      <c r="B833" t="s">
        <v>4833</v>
      </c>
      <c r="C833"/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311" customFormat="1" x14ac:dyDescent="0.2">
      <c r="A834" t="s">
        <v>4500</v>
      </c>
      <c r="B834" t="s">
        <v>4834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311" customFormat="1" x14ac:dyDescent="0.2">
      <c r="A835" t="s">
        <v>4501</v>
      </c>
      <c r="B835" t="s">
        <v>4835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311" customFormat="1" x14ac:dyDescent="0.2">
      <c r="A836" t="s">
        <v>4502</v>
      </c>
      <c r="B836" t="s">
        <v>4836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311" customFormat="1" x14ac:dyDescent="0.2">
      <c r="A837" t="s">
        <v>4503</v>
      </c>
      <c r="B837" t="s">
        <v>4837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311" customFormat="1" x14ac:dyDescent="0.2">
      <c r="A838" t="s">
        <v>4504</v>
      </c>
      <c r="B838" t="s">
        <v>4838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311" customFormat="1" x14ac:dyDescent="0.2">
      <c r="A839" t="s">
        <v>4505</v>
      </c>
      <c r="B839" t="s">
        <v>4839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s="311" customFormat="1" x14ac:dyDescent="0.2">
      <c r="A840" t="s">
        <v>4506</v>
      </c>
      <c r="B840" t="s">
        <v>4840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s="311" customFormat="1" x14ac:dyDescent="0.2">
      <c r="A841" t="s">
        <v>4507</v>
      </c>
      <c r="B841" t="s">
        <v>4841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311" customFormat="1" x14ac:dyDescent="0.2">
      <c r="A842" t="s">
        <v>4508</v>
      </c>
      <c r="B842" t="s">
        <v>4842</v>
      </c>
      <c r="C842"/>
      <c r="D842" t="b">
        <f>IFERROR(VLOOKUP(B842,PatData!$A$2:$A$2000,1,),"")&lt;&gt;""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311" customFormat="1" x14ac:dyDescent="0.2">
      <c r="A843" t="s">
        <v>4509</v>
      </c>
      <c r="B843" t="s">
        <v>4843</v>
      </c>
      <c r="C843"/>
      <c r="D843" t="b">
        <f>IFERROR(VLOOKUP(B843,PatData!$A$2:$A$2000,1,),"")&lt;&gt;""</f>
        <v>1</v>
      </c>
      <c r="E843">
        <v>1</v>
      </c>
      <c r="F843" t="b">
        <v>0</v>
      </c>
      <c r="G843" t="b">
        <v>1</v>
      </c>
      <c r="H843" t="b">
        <v>1</v>
      </c>
      <c r="I843" t="b">
        <v>0</v>
      </c>
    </row>
    <row r="844" spans="1:9" s="311" customFormat="1" x14ac:dyDescent="0.2">
      <c r="A844" t="s">
        <v>4510</v>
      </c>
      <c r="B844" t="s">
        <v>4844</v>
      </c>
      <c r="C844"/>
      <c r="D844" t="b">
        <f>IFERROR(VLOOKUP(B844,PatData!$A$2:$A$2000,1,),"")&lt;&gt;""</f>
        <v>1</v>
      </c>
      <c r="E844">
        <v>1</v>
      </c>
      <c r="F844" t="b">
        <v>0</v>
      </c>
      <c r="G844" t="b">
        <v>1</v>
      </c>
      <c r="H844" t="b">
        <v>1</v>
      </c>
      <c r="I844" t="b">
        <v>0</v>
      </c>
    </row>
    <row r="845" spans="1:9" s="311" customFormat="1" x14ac:dyDescent="0.2">
      <c r="A845" t="s">
        <v>4511</v>
      </c>
      <c r="B845" t="s">
        <v>4845</v>
      </c>
      <c r="C845"/>
      <c r="D845" t="b">
        <f>IFERROR(VLOOKUP(B845,PatData!$A$2:$A$2000,1,),"")&lt;&gt;""</f>
        <v>1</v>
      </c>
      <c r="E845">
        <v>1</v>
      </c>
      <c r="F845" t="b">
        <v>0</v>
      </c>
      <c r="G845" t="b">
        <v>1</v>
      </c>
      <c r="H845" t="b">
        <v>1</v>
      </c>
      <c r="I845" t="b">
        <v>0</v>
      </c>
    </row>
    <row r="846" spans="1:9" s="311" customFormat="1" x14ac:dyDescent="0.2">
      <c r="A846" t="s">
        <v>4512</v>
      </c>
      <c r="B846" t="s">
        <v>4846</v>
      </c>
      <c r="C846"/>
      <c r="D846" t="b">
        <f>IFERROR(VLOOKUP(B846,PatData!$A$2:$A$2000,1,),"")&lt;&gt;""</f>
        <v>1</v>
      </c>
      <c r="E846">
        <v>1</v>
      </c>
      <c r="F846" t="b">
        <v>0</v>
      </c>
      <c r="G846" t="b">
        <v>1</v>
      </c>
      <c r="H846" t="b">
        <v>1</v>
      </c>
      <c r="I846" t="b">
        <v>0</v>
      </c>
    </row>
    <row r="847" spans="1:9" s="311" customFormat="1" x14ac:dyDescent="0.2">
      <c r="A847" t="s">
        <v>4513</v>
      </c>
      <c r="B847" t="s">
        <v>4847</v>
      </c>
      <c r="C847"/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311" customFormat="1" x14ac:dyDescent="0.2">
      <c r="A848" t="s">
        <v>4514</v>
      </c>
      <c r="B848" t="s">
        <v>4848</v>
      </c>
      <c r="C848"/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311" customFormat="1" x14ac:dyDescent="0.2">
      <c r="A849" t="s">
        <v>4515</v>
      </c>
      <c r="B849" t="s">
        <v>4849</v>
      </c>
      <c r="C849"/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311" customFormat="1" x14ac:dyDescent="0.2">
      <c r="A850" t="s">
        <v>4516</v>
      </c>
      <c r="B850" t="s">
        <v>4850</v>
      </c>
      <c r="C850"/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311" customFormat="1" x14ac:dyDescent="0.2">
      <c r="A851" t="s">
        <v>4517</v>
      </c>
      <c r="B851" t="s">
        <v>4851</v>
      </c>
      <c r="C851"/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311" customFormat="1" x14ac:dyDescent="0.2">
      <c r="A852" t="s">
        <v>4518</v>
      </c>
      <c r="B852" t="s">
        <v>4852</v>
      </c>
      <c r="C852"/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311" customFormat="1" x14ac:dyDescent="0.2">
      <c r="A853" t="s">
        <v>4519</v>
      </c>
      <c r="B853" t="s">
        <v>4853</v>
      </c>
      <c r="C853"/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s="311" customFormat="1" x14ac:dyDescent="0.2">
      <c r="A854" t="s">
        <v>4520</v>
      </c>
      <c r="B854" t="s">
        <v>4854</v>
      </c>
      <c r="C854"/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s="311" customFormat="1" x14ac:dyDescent="0.2">
      <c r="A855" t="s">
        <v>4521</v>
      </c>
      <c r="B855" t="s">
        <v>4855</v>
      </c>
      <c r="C855"/>
      <c r="D855" t="b">
        <f>IFERROR(VLOOKUP(B855,PatData!$A$2:$A$2000,1,),"")&lt;&gt;""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311" customFormat="1" x14ac:dyDescent="0.2">
      <c r="A856" t="s">
        <v>4522</v>
      </c>
      <c r="B856" t="s">
        <v>4856</v>
      </c>
      <c r="C856"/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311" customFormat="1" x14ac:dyDescent="0.2">
      <c r="A857" t="s">
        <v>4523</v>
      </c>
      <c r="B857" t="s">
        <v>4857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311" customFormat="1" x14ac:dyDescent="0.2">
      <c r="A858" t="s">
        <v>4524</v>
      </c>
      <c r="B858" t="s">
        <v>4858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311" customFormat="1" x14ac:dyDescent="0.2">
      <c r="A859" t="s">
        <v>4525</v>
      </c>
      <c r="B859" t="s">
        <v>4859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311" customFormat="1" x14ac:dyDescent="0.2">
      <c r="A860" t="s">
        <v>4526</v>
      </c>
      <c r="B860" t="s">
        <v>4860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311" customFormat="1" x14ac:dyDescent="0.2">
      <c r="A861" t="s">
        <v>4527</v>
      </c>
      <c r="B861" t="s">
        <v>4861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311" customFormat="1" x14ac:dyDescent="0.2">
      <c r="A862" t="s">
        <v>4528</v>
      </c>
      <c r="B862" t="s">
        <v>4862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311" customFormat="1" x14ac:dyDescent="0.2">
      <c r="A863" t="s">
        <v>4529</v>
      </c>
      <c r="B863" t="s">
        <v>4863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311" customFormat="1" x14ac:dyDescent="0.2">
      <c r="A864" t="s">
        <v>4530</v>
      </c>
      <c r="B864" t="s">
        <v>4864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311" customFormat="1" x14ac:dyDescent="0.2">
      <c r="A865" t="s">
        <v>4531</v>
      </c>
      <c r="B865" t="s">
        <v>4865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311" customFormat="1" x14ac:dyDescent="0.2">
      <c r="A866" t="s">
        <v>4532</v>
      </c>
      <c r="B866" t="s">
        <v>4866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311" customFormat="1" x14ac:dyDescent="0.2">
      <c r="A867" t="s">
        <v>4533</v>
      </c>
      <c r="B867" t="s">
        <v>4867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311" customFormat="1" x14ac:dyDescent="0.2">
      <c r="A868" t="s">
        <v>4534</v>
      </c>
      <c r="B868" t="s">
        <v>4868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311" customFormat="1" x14ac:dyDescent="0.2">
      <c r="A869" t="s">
        <v>4535</v>
      </c>
      <c r="B869" t="s">
        <v>4869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311" customFormat="1" x14ac:dyDescent="0.2">
      <c r="A870" t="s">
        <v>4536</v>
      </c>
      <c r="B870" t="s">
        <v>4870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311" customFormat="1" x14ac:dyDescent="0.2">
      <c r="A871" t="s">
        <v>4537</v>
      </c>
      <c r="B871" t="s">
        <v>4871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311" customFormat="1" x14ac:dyDescent="0.2">
      <c r="A872" t="s">
        <v>4538</v>
      </c>
      <c r="B872" t="s">
        <v>4872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311" customFormat="1" x14ac:dyDescent="0.2">
      <c r="A873" t="s">
        <v>4539</v>
      </c>
      <c r="B873" t="s">
        <v>4873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311" customFormat="1" x14ac:dyDescent="0.2">
      <c r="A874" t="s">
        <v>4540</v>
      </c>
      <c r="B874" t="s">
        <v>4874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311" customFormat="1" x14ac:dyDescent="0.2">
      <c r="A875" t="s">
        <v>4541</v>
      </c>
      <c r="B875" t="s">
        <v>4875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311" customFormat="1" x14ac:dyDescent="0.2">
      <c r="A876" t="s">
        <v>4542</v>
      </c>
      <c r="B876" t="s">
        <v>4876</v>
      </c>
      <c r="C876"/>
      <c r="D876" t="b">
        <f>IFERROR(VLOOKUP(B876,PatData!$A$2:$A$2000,1,),"")&lt;&gt;""</f>
        <v>1</v>
      </c>
      <c r="E876" t="b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311" customFormat="1" x14ac:dyDescent="0.2">
      <c r="A877" t="s">
        <v>4543</v>
      </c>
      <c r="B877" t="s">
        <v>4877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311" customFormat="1" x14ac:dyDescent="0.2">
      <c r="A878" t="s">
        <v>4544</v>
      </c>
      <c r="B878" t="s">
        <v>4878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311" customFormat="1" x14ac:dyDescent="0.2">
      <c r="A879" t="s">
        <v>4545</v>
      </c>
      <c r="B879" t="s">
        <v>4879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311" customFormat="1" x14ac:dyDescent="0.2">
      <c r="A880" t="s">
        <v>4546</v>
      </c>
      <c r="B880" t="s">
        <v>4880</v>
      </c>
      <c r="C880"/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311" customFormat="1" x14ac:dyDescent="0.2">
      <c r="A881" t="s">
        <v>4547</v>
      </c>
      <c r="B881" t="s">
        <v>4881</v>
      </c>
      <c r="C881"/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311" customFormat="1" x14ac:dyDescent="0.2">
      <c r="A882" t="s">
        <v>4548</v>
      </c>
      <c r="B882" t="s">
        <v>4882</v>
      </c>
      <c r="C882"/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311" customFormat="1" x14ac:dyDescent="0.2">
      <c r="A883" t="s">
        <v>4549</v>
      </c>
      <c r="B883" t="s">
        <v>4883</v>
      </c>
      <c r="C883"/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311" customFormat="1" x14ac:dyDescent="0.2">
      <c r="A884" t="s">
        <v>4550</v>
      </c>
      <c r="B884" t="s">
        <v>4884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311" customFormat="1" x14ac:dyDescent="0.2">
      <c r="A885" t="s">
        <v>4551</v>
      </c>
      <c r="B885" t="s">
        <v>4885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311" customFormat="1" x14ac:dyDescent="0.2">
      <c r="A886" t="s">
        <v>4552</v>
      </c>
      <c r="B886" t="s">
        <v>4886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311" customFormat="1" x14ac:dyDescent="0.2">
      <c r="A887" t="s">
        <v>4553</v>
      </c>
      <c r="B887" t="s">
        <v>4887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311" customFormat="1" x14ac:dyDescent="0.2">
      <c r="A888" t="s">
        <v>4554</v>
      </c>
      <c r="B888" t="s">
        <v>4888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311" customFormat="1" x14ac:dyDescent="0.2">
      <c r="A889" t="s">
        <v>4555</v>
      </c>
      <c r="B889" t="s">
        <v>4889</v>
      </c>
      <c r="C889"/>
      <c r="D889" t="b">
        <f>IFERROR(VLOOKUP(B889,PatData!$A$2:$A$2000,1,),"")&lt;&gt;""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311" customFormat="1" x14ac:dyDescent="0.2">
      <c r="A890" t="s">
        <v>4556</v>
      </c>
      <c r="B890" t="s">
        <v>4890</v>
      </c>
      <c r="C890"/>
      <c r="D890" t="b">
        <f>IFERROR(VLOOKUP(B890,PatData!$A$2:$A$2000,1,),"")&lt;&gt;""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311" customFormat="1" x14ac:dyDescent="0.2">
      <c r="A891" t="s">
        <v>4557</v>
      </c>
      <c r="B891" t="s">
        <v>4891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311" customFormat="1" x14ac:dyDescent="0.2">
      <c r="A892" t="s">
        <v>4558</v>
      </c>
      <c r="B892" t="s">
        <v>4892</v>
      </c>
      <c r="C892"/>
      <c r="D892" t="b">
        <f>IFERROR(VLOOKUP(B892,PatData!$A$2:$A$2000,1,),"")&lt;&gt;""</f>
        <v>1</v>
      </c>
      <c r="E892"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s="311" customFormat="1" x14ac:dyDescent="0.2">
      <c r="A893" t="s">
        <v>5120</v>
      </c>
      <c r="B893" t="s">
        <v>4893</v>
      </c>
      <c r="C893"/>
      <c r="D893" t="b">
        <f>IFERROR(VLOOKUP(B893,PatData!$A$2:$A$2000,1,),"")&lt;&gt;""</f>
        <v>1</v>
      </c>
      <c r="E893"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s="311" customFormat="1" x14ac:dyDescent="0.2">
      <c r="A894" t="s">
        <v>5121</v>
      </c>
      <c r="B894" t="s">
        <v>4894</v>
      </c>
      <c r="C894"/>
      <c r="D894" t="b">
        <f>IFERROR(VLOOKUP(B894,PatData!$A$2:$A$2000,1,),"")&lt;&gt;""</f>
        <v>1</v>
      </c>
      <c r="E894"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s="311" customFormat="1" x14ac:dyDescent="0.2">
      <c r="A895" t="s">
        <v>4559</v>
      </c>
      <c r="B895" t="s">
        <v>4895</v>
      </c>
      <c r="C895"/>
      <c r="D895" t="b">
        <f>IFERROR(VLOOKUP(B895,PatData!$A$2:$A$2000,1,),"")&lt;&gt;""</f>
        <v>1</v>
      </c>
      <c r="E895"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s="311" customFormat="1" x14ac:dyDescent="0.2">
      <c r="A896" t="s">
        <v>4560</v>
      </c>
      <c r="B896" t="s">
        <v>4896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311" customFormat="1" x14ac:dyDescent="0.2">
      <c r="A897" t="s">
        <v>4561</v>
      </c>
      <c r="B897" t="s">
        <v>4897</v>
      </c>
      <c r="C897"/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311" customFormat="1" x14ac:dyDescent="0.2">
      <c r="A898" t="s">
        <v>4562</v>
      </c>
      <c r="B898" t="s">
        <v>4898</v>
      </c>
      <c r="C898"/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311" customFormat="1" x14ac:dyDescent="0.2">
      <c r="A899" t="s">
        <v>4563</v>
      </c>
      <c r="B899" t="s">
        <v>4899</v>
      </c>
      <c r="C899"/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311" customFormat="1" x14ac:dyDescent="0.2">
      <c r="A900" t="s">
        <v>4564</v>
      </c>
      <c r="B900" t="s">
        <v>4900</v>
      </c>
      <c r="C900"/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311" customFormat="1" x14ac:dyDescent="0.2">
      <c r="A901" t="s">
        <v>4565</v>
      </c>
      <c r="B901" t="s">
        <v>4901</v>
      </c>
      <c r="C901"/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311" customFormat="1" x14ac:dyDescent="0.2">
      <c r="A902" t="s">
        <v>4566</v>
      </c>
      <c r="B902" t="s">
        <v>4902</v>
      </c>
      <c r="C902"/>
      <c r="D902" t="b">
        <f>IFERROR(VLOOKUP(B902,PatData!$A$2:$A$2000,1,),"")&lt;&gt;""</f>
        <v>1</v>
      </c>
      <c r="E902">
        <v>5000</v>
      </c>
      <c r="F902" t="b">
        <v>0</v>
      </c>
      <c r="G902" t="b">
        <v>1</v>
      </c>
      <c r="H902" t="b">
        <v>1</v>
      </c>
      <c r="I902" t="b">
        <v>0</v>
      </c>
    </row>
    <row r="903" spans="1:9" s="311" customFormat="1" x14ac:dyDescent="0.2">
      <c r="A903" t="s">
        <v>4567</v>
      </c>
      <c r="B903" t="s">
        <v>4903</v>
      </c>
      <c r="C903"/>
      <c r="D903" t="b">
        <f>IFERROR(VLOOKUP(B903,PatData!$A$2:$A$2000,1,),"")&lt;&gt;""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311" customFormat="1" x14ac:dyDescent="0.2">
      <c r="A904" t="s">
        <v>4568</v>
      </c>
      <c r="B904" t="s">
        <v>4904</v>
      </c>
      <c r="C904"/>
      <c r="D904" t="b">
        <f>IFERROR(VLOOKUP(B904,PatData!$A$2:$A$2000,1,),"")&lt;&gt;""</f>
        <v>1</v>
      </c>
      <c r="E904">
        <v>2</v>
      </c>
      <c r="F904" t="b">
        <v>0</v>
      </c>
      <c r="G904" t="b">
        <v>1</v>
      </c>
      <c r="H904" t="b">
        <v>1</v>
      </c>
      <c r="I904" t="b">
        <v>0</v>
      </c>
    </row>
    <row r="905" spans="1:9" s="311" customFormat="1" x14ac:dyDescent="0.2">
      <c r="A905" t="s">
        <v>4569</v>
      </c>
      <c r="B905" t="s">
        <v>4905</v>
      </c>
      <c r="C905"/>
      <c r="D905" t="b">
        <f>IFERROR(VLOOKUP(B905,PatData!$A$2:$A$2000,1,),"")&lt;&gt;""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311" customFormat="1" x14ac:dyDescent="0.2">
      <c r="A906" t="s">
        <v>4570</v>
      </c>
      <c r="B906" t="s">
        <v>4906</v>
      </c>
      <c r="C906"/>
      <c r="D906" t="b">
        <f>IFERROR(VLOOKUP(B906,PatData!$A$2:$A$2000,1,),"")&lt;&gt;""</f>
        <v>1</v>
      </c>
      <c r="E906">
        <v>5000</v>
      </c>
      <c r="F906" t="b">
        <v>0</v>
      </c>
      <c r="G906" t="b">
        <v>1</v>
      </c>
      <c r="H906" t="b">
        <v>1</v>
      </c>
      <c r="I906" t="b">
        <v>0</v>
      </c>
    </row>
    <row r="907" spans="1:9" s="311" customFormat="1" x14ac:dyDescent="0.2">
      <c r="A907" t="s">
        <v>4571</v>
      </c>
      <c r="B907" t="s">
        <v>4907</v>
      </c>
      <c r="C907"/>
      <c r="D907" t="b">
        <f>IFERROR(VLOOKUP(B907,PatData!$A$2:$A$2000,1,),"")&lt;&gt;""</f>
        <v>1</v>
      </c>
      <c r="E907">
        <v>5000</v>
      </c>
      <c r="F907" t="b">
        <v>0</v>
      </c>
      <c r="G907" t="b">
        <v>1</v>
      </c>
      <c r="H907" t="b">
        <v>1</v>
      </c>
      <c r="I907" t="b">
        <v>0</v>
      </c>
    </row>
    <row r="908" spans="1:9" s="311" customFormat="1" x14ac:dyDescent="0.2">
      <c r="A908" t="s">
        <v>4572</v>
      </c>
      <c r="B908" t="s">
        <v>4908</v>
      </c>
      <c r="C908"/>
      <c r="D908" t="b">
        <f>IFERROR(VLOOKUP(B908,PatData!$A$2:$A$2000,1,),"")&lt;&gt;""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311" customFormat="1" x14ac:dyDescent="0.2">
      <c r="A909" t="s">
        <v>4573</v>
      </c>
      <c r="B909" t="s">
        <v>4909</v>
      </c>
      <c r="C909"/>
      <c r="D909" t="b">
        <f>IFERROR(VLOOKUP(B909,PatData!$A$2:$A$2000,1,),"")&lt;&gt;""</f>
        <v>1</v>
      </c>
      <c r="E909">
        <v>5000</v>
      </c>
      <c r="F909" t="b">
        <v>0</v>
      </c>
      <c r="G909" t="b">
        <v>1</v>
      </c>
      <c r="H909" t="b">
        <v>1</v>
      </c>
      <c r="I909" t="b">
        <v>0</v>
      </c>
    </row>
    <row r="910" spans="1:9" s="311" customFormat="1" x14ac:dyDescent="0.2">
      <c r="A910" t="s">
        <v>4574</v>
      </c>
      <c r="B910" t="s">
        <v>4910</v>
      </c>
      <c r="C910"/>
      <c r="D910" t="b">
        <f>IFERROR(VLOOKUP(B910,PatData!$A$2:$A$2000,1,),"")&lt;&gt;""</f>
        <v>1</v>
      </c>
      <c r="E910">
        <v>5000</v>
      </c>
      <c r="F910" t="b">
        <v>0</v>
      </c>
      <c r="G910" t="b">
        <v>1</v>
      </c>
      <c r="H910" t="b">
        <v>1</v>
      </c>
      <c r="I910" t="b">
        <v>0</v>
      </c>
    </row>
    <row r="911" spans="1:9" s="311" customFormat="1" x14ac:dyDescent="0.2">
      <c r="A911" t="s">
        <v>4575</v>
      </c>
      <c r="B911" t="s">
        <v>4911</v>
      </c>
      <c r="C911"/>
      <c r="D911" t="b">
        <f>IFERROR(VLOOKUP(B911,PatData!$A$2:$A$2000,1,),"")&lt;&gt;""</f>
        <v>1</v>
      </c>
      <c r="E911">
        <v>5000</v>
      </c>
      <c r="F911" t="b">
        <v>0</v>
      </c>
      <c r="G911" t="b">
        <v>1</v>
      </c>
      <c r="H911" t="b">
        <v>1</v>
      </c>
      <c r="I911" t="b">
        <v>0</v>
      </c>
    </row>
    <row r="912" spans="1:9" s="311" customFormat="1" x14ac:dyDescent="0.2">
      <c r="A912" t="s">
        <v>4576</v>
      </c>
      <c r="B912" t="s">
        <v>4912</v>
      </c>
      <c r="C912"/>
      <c r="D912" t="b">
        <f>IFERROR(VLOOKUP(B912,PatData!$A$2:$A$2000,1,),"")&lt;&gt;""</f>
        <v>1</v>
      </c>
      <c r="E912">
        <v>5000</v>
      </c>
      <c r="F912" t="b">
        <v>0</v>
      </c>
      <c r="G912" t="b">
        <v>1</v>
      </c>
      <c r="H912" t="b">
        <v>1</v>
      </c>
      <c r="I912" t="b">
        <v>0</v>
      </c>
    </row>
    <row r="913" spans="1:9" s="311" customFormat="1" x14ac:dyDescent="0.2">
      <c r="A913" t="s">
        <v>4577</v>
      </c>
      <c r="B913" t="s">
        <v>4913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311" customFormat="1" x14ac:dyDescent="0.2">
      <c r="A914" t="s">
        <v>4578</v>
      </c>
      <c r="B914" t="s">
        <v>4914</v>
      </c>
      <c r="C914"/>
      <c r="D914" t="b">
        <f>IFERROR(VLOOKUP(B914,PatData!$A$2:$A$2000,1,),"")&lt;&gt;""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311" customFormat="1" x14ac:dyDescent="0.2">
      <c r="A915" t="s">
        <v>4579</v>
      </c>
      <c r="B915" t="s">
        <v>4915</v>
      </c>
      <c r="C915"/>
      <c r="D915" t="b">
        <f>IFERROR(VLOOKUP(B915,PatData!$A$2:$A$2000,1,),"")&lt;&gt;""</f>
        <v>1</v>
      </c>
      <c r="E915">
        <v>5000</v>
      </c>
      <c r="F915" t="b">
        <v>0</v>
      </c>
      <c r="G915" t="b">
        <v>1</v>
      </c>
      <c r="H915" t="b">
        <v>1</v>
      </c>
      <c r="I915" t="b">
        <v>0</v>
      </c>
    </row>
    <row r="916" spans="1:9" s="311" customFormat="1" x14ac:dyDescent="0.2">
      <c r="A916" t="s">
        <v>4580</v>
      </c>
      <c r="B916" t="s">
        <v>4916</v>
      </c>
      <c r="C916"/>
      <c r="D916" t="b">
        <f>IFERROR(VLOOKUP(B916,PatData!$A$2:$A$2000,1,),"")&lt;&gt;""</f>
        <v>1</v>
      </c>
      <c r="E916">
        <v>5000</v>
      </c>
      <c r="F916" t="b">
        <v>0</v>
      </c>
      <c r="G916" t="b">
        <v>1</v>
      </c>
      <c r="H916" t="b">
        <v>1</v>
      </c>
      <c r="I916" t="b">
        <v>0</v>
      </c>
    </row>
    <row r="917" spans="1:9" s="311" customFormat="1" x14ac:dyDescent="0.2">
      <c r="A917" t="s">
        <v>1431</v>
      </c>
      <c r="B917" t="s">
        <v>2741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311" customFormat="1" x14ac:dyDescent="0.2">
      <c r="A918" t="s">
        <v>1442</v>
      </c>
      <c r="B918" t="s">
        <v>2742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311" customFormat="1" x14ac:dyDescent="0.2">
      <c r="A919" t="s">
        <v>1453</v>
      </c>
      <c r="B919" t="s">
        <v>2743</v>
      </c>
      <c r="C919"/>
      <c r="D919" t="b">
        <f>IFERROR(VLOOKUP(B919,PatData!$A$2:$A$2000,1,),"")&lt;&gt;""</f>
        <v>1</v>
      </c>
      <c r="E919" t="b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s="311" customFormat="1" x14ac:dyDescent="0.2">
      <c r="A920" t="s">
        <v>1456</v>
      </c>
      <c r="B920" t="s">
        <v>2744</v>
      </c>
      <c r="C920"/>
      <c r="D920" t="b">
        <f>IFERROR(VLOOKUP(B920,PatData!$A$2:$A$2000,1,),"")&lt;&gt;""</f>
        <v>1</v>
      </c>
      <c r="E920" t="b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311" customFormat="1" x14ac:dyDescent="0.2">
      <c r="A921" t="s">
        <v>1457</v>
      </c>
      <c r="B921" t="s">
        <v>2745</v>
      </c>
      <c r="C921"/>
      <c r="D921" t="b">
        <f>IFERROR(VLOOKUP(B921,PatData!$A$2:$A$2000,1,),"")&lt;&gt;""</f>
        <v>1</v>
      </c>
      <c r="E921" t="b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311" customFormat="1" x14ac:dyDescent="0.2">
      <c r="A922" t="s">
        <v>1458</v>
      </c>
      <c r="B922" t="s">
        <v>2746</v>
      </c>
      <c r="C922"/>
      <c r="D922" t="b">
        <f>IFERROR(VLOOKUP(B922,PatData!$A$2:$A$2000,1,),"")&lt;&gt;""</f>
        <v>1</v>
      </c>
      <c r="E922" t="b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311" customFormat="1" x14ac:dyDescent="0.2">
      <c r="A923" t="s">
        <v>1459</v>
      </c>
      <c r="B923" t="s">
        <v>2747</v>
      </c>
      <c r="C923"/>
      <c r="D923" t="b">
        <f>IFERROR(VLOOKUP(B923,PatData!$A$2:$A$2000,1,),"")&lt;&gt;""</f>
        <v>1</v>
      </c>
      <c r="E923" t="b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311" customFormat="1" x14ac:dyDescent="0.2">
      <c r="A924" t="s">
        <v>1460</v>
      </c>
      <c r="B924" t="s">
        <v>2748</v>
      </c>
      <c r="C924"/>
      <c r="D924" t="b">
        <f>IFERROR(VLOOKUP(B924,PatData!$A$2:$A$2000,1,),"")&lt;&gt;""</f>
        <v>1</v>
      </c>
      <c r="E924" t="b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311" customFormat="1" x14ac:dyDescent="0.2">
      <c r="A925" t="s">
        <v>1461</v>
      </c>
      <c r="B925" t="s">
        <v>2749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311" customFormat="1" x14ac:dyDescent="0.2">
      <c r="A926" t="s">
        <v>1432</v>
      </c>
      <c r="B926" t="s">
        <v>2750</v>
      </c>
      <c r="C926"/>
      <c r="D926" t="b">
        <f>IFERROR(VLOOKUP(B926,PatData!$A$2:$A$2000,1,),"")&lt;&gt;""</f>
        <v>1</v>
      </c>
      <c r="E926" t="b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311" customFormat="1" x14ac:dyDescent="0.2">
      <c r="A927" t="s">
        <v>1433</v>
      </c>
      <c r="B927" t="s">
        <v>2751</v>
      </c>
      <c r="C927"/>
      <c r="D927" t="b">
        <f>IFERROR(VLOOKUP(B927,PatData!$A$2:$A$2000,1,),"")&lt;&gt;""</f>
        <v>1</v>
      </c>
      <c r="E927" t="b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311" customFormat="1" x14ac:dyDescent="0.2">
      <c r="A928" t="s">
        <v>1434</v>
      </c>
      <c r="B928" t="s">
        <v>2752</v>
      </c>
      <c r="C928"/>
      <c r="D928" t="b">
        <f>IFERROR(VLOOKUP(B928,PatData!$A$2:$A$2000,1,),"")&lt;&gt;""</f>
        <v>1</v>
      </c>
      <c r="E928" t="b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1435</v>
      </c>
      <c r="B929" t="s">
        <v>2753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1436</v>
      </c>
      <c r="B930" t="s">
        <v>2754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1437</v>
      </c>
      <c r="B931" t="s">
        <v>2755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1438</v>
      </c>
      <c r="B932" t="s">
        <v>2756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1439</v>
      </c>
      <c r="B933" t="s">
        <v>2757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1440</v>
      </c>
      <c r="B934" t="s">
        <v>2758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1441</v>
      </c>
      <c r="B935" t="s">
        <v>2759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1443</v>
      </c>
      <c r="B936" t="s">
        <v>2760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1444</v>
      </c>
      <c r="B937" t="s">
        <v>2761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1445</v>
      </c>
      <c r="B938" t="s">
        <v>2762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1446</v>
      </c>
      <c r="B939" t="s">
        <v>2763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1447</v>
      </c>
      <c r="B940" t="s">
        <v>2764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1448</v>
      </c>
      <c r="B941" t="s">
        <v>2765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1449</v>
      </c>
      <c r="B942" t="s">
        <v>2766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1450</v>
      </c>
      <c r="B943" t="s">
        <v>2767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1451</v>
      </c>
      <c r="B944" t="s">
        <v>2768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1452</v>
      </c>
      <c r="B945" t="s">
        <v>2769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1454</v>
      </c>
      <c r="B946" t="s">
        <v>2770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1455</v>
      </c>
      <c r="B947" t="s">
        <v>2771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1462</v>
      </c>
      <c r="B948" t="s">
        <v>2772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1473</v>
      </c>
      <c r="B949" t="s">
        <v>2773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1484</v>
      </c>
      <c r="B950" t="s">
        <v>2774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1487</v>
      </c>
      <c r="B951" t="s">
        <v>2775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1488</v>
      </c>
      <c r="B952" t="s">
        <v>2776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1489</v>
      </c>
      <c r="B953" t="s">
        <v>2777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1490</v>
      </c>
      <c r="B954" t="s">
        <v>2778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1491</v>
      </c>
      <c r="B955" t="s">
        <v>2779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1492</v>
      </c>
      <c r="B956" t="s">
        <v>2780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1463</v>
      </c>
      <c r="B957" t="s">
        <v>2781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1464</v>
      </c>
      <c r="B958" t="s">
        <v>2782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1465</v>
      </c>
      <c r="B959" t="s">
        <v>2783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1466</v>
      </c>
      <c r="B960" t="s">
        <v>2784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1467</v>
      </c>
      <c r="B961" t="s">
        <v>2785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1468</v>
      </c>
      <c r="B962" t="s">
        <v>2786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1469</v>
      </c>
      <c r="B963" t="s">
        <v>2787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1470</v>
      </c>
      <c r="B964" t="s">
        <v>2788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1471</v>
      </c>
      <c r="B965" t="s">
        <v>2789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1472</v>
      </c>
      <c r="B966" t="s">
        <v>2790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1474</v>
      </c>
      <c r="B967" t="s">
        <v>2791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1475</v>
      </c>
      <c r="B968" t="s">
        <v>2792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1476</v>
      </c>
      <c r="B969" t="s">
        <v>2793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1477</v>
      </c>
      <c r="B970" t="s">
        <v>2794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1478</v>
      </c>
      <c r="B971" t="s">
        <v>2795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1479</v>
      </c>
      <c r="B972" t="s">
        <v>2796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1480</v>
      </c>
      <c r="B973" t="s">
        <v>2797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1481</v>
      </c>
      <c r="B974" t="s">
        <v>2798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1482</v>
      </c>
      <c r="B975" t="s">
        <v>2799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1483</v>
      </c>
      <c r="B976" t="s">
        <v>2800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1485</v>
      </c>
      <c r="B977" t="s">
        <v>2801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1486</v>
      </c>
      <c r="B978" t="s">
        <v>2802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1493</v>
      </c>
      <c r="B979" t="s">
        <v>2803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1504</v>
      </c>
      <c r="B980" t="s">
        <v>2804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1515</v>
      </c>
      <c r="B981" t="s">
        <v>2805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1518</v>
      </c>
      <c r="B982" t="s">
        <v>2806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1519</v>
      </c>
      <c r="B983" t="s">
        <v>2807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1520</v>
      </c>
      <c r="B984" t="s">
        <v>2808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1521</v>
      </c>
      <c r="B985" t="s">
        <v>2809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1522</v>
      </c>
      <c r="B986" t="s">
        <v>2810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1523</v>
      </c>
      <c r="B987" t="s">
        <v>2811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1494</v>
      </c>
      <c r="B988" t="s">
        <v>2812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1495</v>
      </c>
      <c r="B989" t="s">
        <v>2813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1496</v>
      </c>
      <c r="B990" t="s">
        <v>2814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1497</v>
      </c>
      <c r="B991" t="s">
        <v>2815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1498</v>
      </c>
      <c r="B992" t="s">
        <v>2816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1499</v>
      </c>
      <c r="B993" t="s">
        <v>2817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1500</v>
      </c>
      <c r="B994" t="s">
        <v>2818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1501</v>
      </c>
      <c r="B995" t="s">
        <v>2819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1502</v>
      </c>
      <c r="B996" t="s">
        <v>2820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1503</v>
      </c>
      <c r="B997" t="s">
        <v>2821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1505</v>
      </c>
      <c r="B998" t="s">
        <v>2822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1506</v>
      </c>
      <c r="B999" t="s">
        <v>2823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1507</v>
      </c>
      <c r="B1000" t="s">
        <v>2824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1508</v>
      </c>
      <c r="B1001" t="s">
        <v>2825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1509</v>
      </c>
      <c r="B1002" t="s">
        <v>2826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1510</v>
      </c>
      <c r="B1003" t="s">
        <v>2827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1511</v>
      </c>
      <c r="B1004" t="s">
        <v>2828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1512</v>
      </c>
      <c r="B1005" t="s">
        <v>2829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1513</v>
      </c>
      <c r="B1006" t="s">
        <v>2830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1514</v>
      </c>
      <c r="B1007" t="s">
        <v>2831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1516</v>
      </c>
      <c r="B1008" t="s">
        <v>2832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1517</v>
      </c>
      <c r="B1009" t="s">
        <v>2833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1524</v>
      </c>
      <c r="B1010" t="s">
        <v>2834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1535</v>
      </c>
      <c r="B1011" t="s">
        <v>2835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1546</v>
      </c>
      <c r="B1012" t="s">
        <v>2836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1549</v>
      </c>
      <c r="B1013" t="s">
        <v>2837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1550</v>
      </c>
      <c r="B1014" t="s">
        <v>2838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1551</v>
      </c>
      <c r="B1015" t="s">
        <v>2839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1552</v>
      </c>
      <c r="B1016" t="s">
        <v>2840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1553</v>
      </c>
      <c r="B1017" t="s">
        <v>2841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1554</v>
      </c>
      <c r="B1018" t="s">
        <v>2842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1525</v>
      </c>
      <c r="B1019" t="s">
        <v>2843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1526</v>
      </c>
      <c r="B1020" t="s">
        <v>2844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1527</v>
      </c>
      <c r="B1021" t="s">
        <v>2845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1528</v>
      </c>
      <c r="B1022" t="s">
        <v>2846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1529</v>
      </c>
      <c r="B1023" t="s">
        <v>2847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1530</v>
      </c>
      <c r="B1024" t="s">
        <v>2848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1531</v>
      </c>
      <c r="B1025" t="s">
        <v>2849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1532</v>
      </c>
      <c r="B1026" t="s">
        <v>2850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1533</v>
      </c>
      <c r="B1027" t="s">
        <v>2851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1534</v>
      </c>
      <c r="B1028" t="s">
        <v>2852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1536</v>
      </c>
      <c r="B1029" t="s">
        <v>2853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1537</v>
      </c>
      <c r="B1030" t="s">
        <v>2854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1538</v>
      </c>
      <c r="B1031" t="s">
        <v>2855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1539</v>
      </c>
      <c r="B1032" t="s">
        <v>2856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1540</v>
      </c>
      <c r="B1033" t="s">
        <v>2857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1541</v>
      </c>
      <c r="B1034" t="s">
        <v>2858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1542</v>
      </c>
      <c r="B1035" t="s">
        <v>2859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1543</v>
      </c>
      <c r="B1036" t="s">
        <v>2860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1544</v>
      </c>
      <c r="B1037" t="s">
        <v>2861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1545</v>
      </c>
      <c r="B1038" t="s">
        <v>2862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1547</v>
      </c>
      <c r="B1039" t="s">
        <v>2863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1548</v>
      </c>
      <c r="B1040" t="s">
        <v>2864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1555</v>
      </c>
      <c r="B1041" t="s">
        <v>2865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1566</v>
      </c>
      <c r="B1042" t="s">
        <v>2866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1577</v>
      </c>
      <c r="B1043" t="s">
        <v>2867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1580</v>
      </c>
      <c r="B1044" t="s">
        <v>2868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1581</v>
      </c>
      <c r="B1045" t="s">
        <v>2869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1582</v>
      </c>
      <c r="B1046" t="s">
        <v>2870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1583</v>
      </c>
      <c r="B1047" t="s">
        <v>2871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1584</v>
      </c>
      <c r="B1048" t="s">
        <v>2872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1585</v>
      </c>
      <c r="B1049" t="s">
        <v>2873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1556</v>
      </c>
      <c r="B1050" t="s">
        <v>2874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1557</v>
      </c>
      <c r="B1051" t="s">
        <v>2875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1558</v>
      </c>
      <c r="B1052" t="s">
        <v>2876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1559</v>
      </c>
      <c r="B1053" t="s">
        <v>2877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1560</v>
      </c>
      <c r="B1054" t="s">
        <v>2878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1561</v>
      </c>
      <c r="B1055" t="s">
        <v>2879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1562</v>
      </c>
      <c r="B1056" t="s">
        <v>2880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1563</v>
      </c>
      <c r="B1057" t="s">
        <v>2881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1564</v>
      </c>
      <c r="B1058" t="s">
        <v>2882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1565</v>
      </c>
      <c r="B1059" t="s">
        <v>2883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1567</v>
      </c>
      <c r="B1060" t="s">
        <v>2884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1568</v>
      </c>
      <c r="B1061" t="s">
        <v>2885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1569</v>
      </c>
      <c r="B1062" t="s">
        <v>2886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1570</v>
      </c>
      <c r="B1063" t="s">
        <v>2887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1571</v>
      </c>
      <c r="B1064" t="s">
        <v>2888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1572</v>
      </c>
      <c r="B1065" t="s">
        <v>2889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1573</v>
      </c>
      <c r="B1066" t="s">
        <v>2890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1574</v>
      </c>
      <c r="B1067" t="s">
        <v>2891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1575</v>
      </c>
      <c r="B1068" t="s">
        <v>2892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1576</v>
      </c>
      <c r="B1069" t="s">
        <v>2893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1578</v>
      </c>
      <c r="B1070" t="s">
        <v>2894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1579</v>
      </c>
      <c r="B1071" t="s">
        <v>2895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1586</v>
      </c>
      <c r="B1072" t="s">
        <v>2896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1597</v>
      </c>
      <c r="B1073" t="s">
        <v>2897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1608</v>
      </c>
      <c r="B1074" t="s">
        <v>2898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1611</v>
      </c>
      <c r="B1075" t="s">
        <v>2899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1612</v>
      </c>
      <c r="B1076" t="s">
        <v>2900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1613</v>
      </c>
      <c r="B1077" t="s">
        <v>2901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1614</v>
      </c>
      <c r="B1078" t="s">
        <v>2902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1615</v>
      </c>
      <c r="B1079" t="s">
        <v>2903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1616</v>
      </c>
      <c r="B1080" t="s">
        <v>2904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1587</v>
      </c>
      <c r="B1081" t="s">
        <v>2905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1588</v>
      </c>
      <c r="B1082" t="s">
        <v>2906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1589</v>
      </c>
      <c r="B1083" t="s">
        <v>2907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1590</v>
      </c>
      <c r="B1084" t="s">
        <v>2908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1591</v>
      </c>
      <c r="B1085" t="s">
        <v>2909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1592</v>
      </c>
      <c r="B1086" t="s">
        <v>2910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1593</v>
      </c>
      <c r="B1087" t="s">
        <v>2911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1594</v>
      </c>
      <c r="B1088" t="s">
        <v>2912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1595</v>
      </c>
      <c r="B1089" t="s">
        <v>2913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1596</v>
      </c>
      <c r="B1090" t="s">
        <v>2914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1598</v>
      </c>
      <c r="B1091" t="s">
        <v>2915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1599</v>
      </c>
      <c r="B1092" t="s">
        <v>2916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1600</v>
      </c>
      <c r="B1093" t="s">
        <v>2917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1601</v>
      </c>
      <c r="B1094" t="s">
        <v>2918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1602</v>
      </c>
      <c r="B1095" t="s">
        <v>2919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1603</v>
      </c>
      <c r="B1096" t="s">
        <v>2920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1604</v>
      </c>
      <c r="B1097" t="s">
        <v>2921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1605</v>
      </c>
      <c r="B1098" t="s">
        <v>2922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1606</v>
      </c>
      <c r="B1099" t="s">
        <v>2923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1607</v>
      </c>
      <c r="B1100" t="s">
        <v>2924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1609</v>
      </c>
      <c r="B1101" t="s">
        <v>2925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1610</v>
      </c>
      <c r="B1102" t="s">
        <v>2926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1617</v>
      </c>
      <c r="B1103" t="s">
        <v>2927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1628</v>
      </c>
      <c r="B1104" t="s">
        <v>2928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1639</v>
      </c>
      <c r="B1105" t="s">
        <v>2929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1642</v>
      </c>
      <c r="B1106" t="s">
        <v>2930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1643</v>
      </c>
      <c r="B1107" t="s">
        <v>2931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1644</v>
      </c>
      <c r="B1108" t="s">
        <v>2932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1645</v>
      </c>
      <c r="B1109" t="s">
        <v>2933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1646</v>
      </c>
      <c r="B1110" t="s">
        <v>2934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1647</v>
      </c>
      <c r="B1111" t="s">
        <v>2935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1618</v>
      </c>
      <c r="B1112" t="s">
        <v>2936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1619</v>
      </c>
      <c r="B1113" t="s">
        <v>2937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1620</v>
      </c>
      <c r="B1114" t="s">
        <v>2938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1621</v>
      </c>
      <c r="B1115" t="s">
        <v>2939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1622</v>
      </c>
      <c r="B1116" t="s">
        <v>2940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1623</v>
      </c>
      <c r="B1117" t="s">
        <v>2941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1624</v>
      </c>
      <c r="B1118" t="s">
        <v>2942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1625</v>
      </c>
      <c r="B1119" t="s">
        <v>2943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1626</v>
      </c>
      <c r="B1120" t="s">
        <v>2944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1627</v>
      </c>
      <c r="B1121" t="s">
        <v>2945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1629</v>
      </c>
      <c r="B1122" t="s">
        <v>2946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1630</v>
      </c>
      <c r="B1123" t="s">
        <v>2947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1631</v>
      </c>
      <c r="B1124" t="s">
        <v>2948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1632</v>
      </c>
      <c r="B1125" t="s">
        <v>2949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1633</v>
      </c>
      <c r="B1126" t="s">
        <v>2950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1634</v>
      </c>
      <c r="B1127" t="s">
        <v>2951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1635</v>
      </c>
      <c r="B1128" t="s">
        <v>2952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1636</v>
      </c>
      <c r="B1129" t="s">
        <v>2953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1637</v>
      </c>
      <c r="B1130" t="s">
        <v>2954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1638</v>
      </c>
      <c r="B1131" t="s">
        <v>2955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1640</v>
      </c>
      <c r="B1132" t="s">
        <v>2956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1641</v>
      </c>
      <c r="B1133" t="s">
        <v>2957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1648</v>
      </c>
      <c r="B1134" t="s">
        <v>2958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1659</v>
      </c>
      <c r="B1135" t="s">
        <v>2959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1670</v>
      </c>
      <c r="B1136" t="s">
        <v>2960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1673</v>
      </c>
      <c r="B1137" t="s">
        <v>2961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1674</v>
      </c>
      <c r="B1138" t="s">
        <v>2962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1675</v>
      </c>
      <c r="B1139" t="s">
        <v>2963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1676</v>
      </c>
      <c r="B1140" t="s">
        <v>2964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1677</v>
      </c>
      <c r="B1141" t="s">
        <v>2965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1678</v>
      </c>
      <c r="B1142" t="s">
        <v>2966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1649</v>
      </c>
      <c r="B1143" t="s">
        <v>2967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1650</v>
      </c>
      <c r="B1144" t="s">
        <v>2968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1651</v>
      </c>
      <c r="B1145" t="s">
        <v>2969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1652</v>
      </c>
      <c r="B1146" t="s">
        <v>2970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1653</v>
      </c>
      <c r="B1147" t="s">
        <v>2971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1654</v>
      </c>
      <c r="B1148" t="s">
        <v>2972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1655</v>
      </c>
      <c r="B1149" t="s">
        <v>2973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1656</v>
      </c>
      <c r="B1150" t="s">
        <v>2974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1657</v>
      </c>
      <c r="B1151" t="s">
        <v>2975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1658</v>
      </c>
      <c r="B1152" t="s">
        <v>2976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1660</v>
      </c>
      <c r="B1153" t="s">
        <v>2977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1661</v>
      </c>
      <c r="B1154" t="s">
        <v>2978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1662</v>
      </c>
      <c r="B1155" t="s">
        <v>2979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1663</v>
      </c>
      <c r="B1156" t="s">
        <v>2980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1664</v>
      </c>
      <c r="B1157" t="s">
        <v>2981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1665</v>
      </c>
      <c r="B1158" t="s">
        <v>2982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1666</v>
      </c>
      <c r="B1159" t="s">
        <v>2983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1667</v>
      </c>
      <c r="B1160" t="s">
        <v>2984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1668</v>
      </c>
      <c r="B1161" t="s">
        <v>2985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1669</v>
      </c>
      <c r="B1162" t="s">
        <v>2986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1671</v>
      </c>
      <c r="B1163" t="s">
        <v>2987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1672</v>
      </c>
      <c r="B1164" t="s">
        <v>2988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1679</v>
      </c>
      <c r="B1165" t="s">
        <v>2989</v>
      </c>
      <c r="D1165" t="b">
        <f>IFERROR(VLOOKUP(B1165,PatData!$A$2:$A$2000,1,),"")&lt;&gt;""</f>
        <v>1</v>
      </c>
      <c r="E1165"/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1680</v>
      </c>
      <c r="B1166" t="s">
        <v>2990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1691</v>
      </c>
      <c r="B1167" t="s">
        <v>2991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1702</v>
      </c>
      <c r="B1168" t="s">
        <v>2992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1706</v>
      </c>
      <c r="B1169" t="s">
        <v>2993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1707</v>
      </c>
      <c r="B1170" t="s">
        <v>2994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1708</v>
      </c>
      <c r="B1171" t="s">
        <v>2995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1709</v>
      </c>
      <c r="B1172" t="s">
        <v>2996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1710</v>
      </c>
      <c r="B1173" t="s">
        <v>2997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1711</v>
      </c>
      <c r="B1174" t="s">
        <v>2998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1681</v>
      </c>
      <c r="B1175" t="s">
        <v>2999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1682</v>
      </c>
      <c r="B1176" t="s">
        <v>3000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1683</v>
      </c>
      <c r="B1177" t="s">
        <v>3001</v>
      </c>
      <c r="D1177" t="b">
        <f>IFERROR(VLOOKUP(B1177,PatData!$A$2:$A$2000,1,),"")&lt;&gt;""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1684</v>
      </c>
      <c r="B1178" t="s">
        <v>3002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1685</v>
      </c>
      <c r="B1179" t="s">
        <v>3003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1686</v>
      </c>
      <c r="B1180" t="s">
        <v>3004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1687</v>
      </c>
      <c r="B1181" t="s">
        <v>3005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1688</v>
      </c>
      <c r="B1182" t="s">
        <v>3006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1689</v>
      </c>
      <c r="B1183" t="s">
        <v>3007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1690</v>
      </c>
      <c r="B1184" t="s">
        <v>3008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1692</v>
      </c>
      <c r="B1185" t="s">
        <v>3009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1693</v>
      </c>
      <c r="B1186" t="s">
        <v>3010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1694</v>
      </c>
      <c r="B1187" t="s">
        <v>3011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1695</v>
      </c>
      <c r="B1188" t="s">
        <v>3012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1696</v>
      </c>
      <c r="B1189" t="s">
        <v>3013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1697</v>
      </c>
      <c r="B1190" t="s">
        <v>3014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1698</v>
      </c>
      <c r="B1191" t="s">
        <v>3015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1699</v>
      </c>
      <c r="B1192" t="s">
        <v>3016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1700</v>
      </c>
      <c r="B1193" t="s">
        <v>3017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1701</v>
      </c>
      <c r="B1194" t="s">
        <v>3018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1703</v>
      </c>
      <c r="B1195" t="s">
        <v>3019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1704</v>
      </c>
      <c r="B1196" t="s">
        <v>3020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1705</v>
      </c>
      <c r="B1197" t="s">
        <v>3021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3954</v>
      </c>
      <c r="B1198" t="s">
        <v>3955</v>
      </c>
      <c r="D1198" t="b">
        <f>IFERROR(VLOOKUP(B1198,PatData!$A$2:$A$2000,1,),"")&lt;&gt;""</f>
        <v>1</v>
      </c>
      <c r="E1198">
        <v>0</v>
      </c>
      <c r="F1198" t="b">
        <v>0</v>
      </c>
      <c r="G1198" t="b">
        <v>1</v>
      </c>
      <c r="H1198" t="b">
        <v>0</v>
      </c>
      <c r="I1198" t="b">
        <v>0</v>
      </c>
    </row>
    <row r="1199" spans="1:9" x14ac:dyDescent="0.2">
      <c r="A1199" t="s">
        <v>5122</v>
      </c>
      <c r="B1199" t="s">
        <v>5123</v>
      </c>
      <c r="D1199" t="b">
        <f>IFERROR(VLOOKUP(B1199,PatData!$A$2:$A$2000,1,),"")&lt;&gt;""</f>
        <v>1</v>
      </c>
      <c r="E1199">
        <v>0</v>
      </c>
      <c r="F1199" t="b">
        <v>0</v>
      </c>
      <c r="G1199" t="b">
        <v>1</v>
      </c>
      <c r="H1199" t="b">
        <v>0</v>
      </c>
      <c r="I1199" t="b">
        <v>0</v>
      </c>
    </row>
    <row r="1200" spans="1:9" x14ac:dyDescent="0.2">
      <c r="A1200" t="s">
        <v>4279</v>
      </c>
      <c r="B1200" t="s">
        <v>5124</v>
      </c>
      <c r="D1200" t="b">
        <f>IFERROR(VLOOKUP(B1200,PatData!$A$2:$A$2000,1,),"")&lt;&gt;""</f>
        <v>1</v>
      </c>
      <c r="E1200">
        <v>0</v>
      </c>
      <c r="F1200" t="b">
        <v>0</v>
      </c>
      <c r="G1200" t="b">
        <v>1</v>
      </c>
      <c r="H1200" t="b">
        <v>0</v>
      </c>
      <c r="I1200" t="b">
        <v>0</v>
      </c>
    </row>
    <row r="1201" spans="1:9" x14ac:dyDescent="0.2">
      <c r="A1201" t="s">
        <v>3956</v>
      </c>
      <c r="B1201" t="s">
        <v>3323</v>
      </c>
      <c r="D1201" t="b">
        <f>IFERROR(VLOOKUP(B1201,PatData!$A$2:$A$2000,1,),"")&lt;&gt;""</f>
        <v>1</v>
      </c>
      <c r="E1201">
        <v>0</v>
      </c>
      <c r="F1201" t="b">
        <v>0</v>
      </c>
      <c r="G1201" t="b">
        <v>1</v>
      </c>
      <c r="H1201" t="b">
        <v>0</v>
      </c>
      <c r="I1201" t="b">
        <v>0</v>
      </c>
    </row>
    <row r="1202" spans="1:9" x14ac:dyDescent="0.2">
      <c r="A1202" t="s">
        <v>3957</v>
      </c>
      <c r="B1202" t="s">
        <v>3324</v>
      </c>
      <c r="D1202" t="b">
        <f>IFERROR(VLOOKUP(B1202,PatData!$A$2:$A$2000,1,),"")&lt;&gt;""</f>
        <v>1</v>
      </c>
      <c r="E1202">
        <v>0</v>
      </c>
      <c r="F1202" t="b">
        <v>0</v>
      </c>
      <c r="G1202" t="b">
        <v>1</v>
      </c>
      <c r="H1202" t="b">
        <v>0</v>
      </c>
      <c r="I1202" t="b">
        <v>0</v>
      </c>
    </row>
    <row r="1203" spans="1:9" x14ac:dyDescent="0.2">
      <c r="A1203" t="s">
        <v>3958</v>
      </c>
      <c r="B1203" t="s">
        <v>3320</v>
      </c>
      <c r="D1203" t="b">
        <f>IFERROR(VLOOKUP(B1203,PatData!$A$2:$A$2000,1,),"")&lt;&gt;""</f>
        <v>1</v>
      </c>
      <c r="E1203">
        <v>1462</v>
      </c>
      <c r="F1203" t="b">
        <v>0</v>
      </c>
      <c r="G1203" t="b">
        <v>1</v>
      </c>
      <c r="H1203" t="b">
        <v>0</v>
      </c>
      <c r="I1203" t="b">
        <v>0</v>
      </c>
    </row>
    <row r="1204" spans="1:9" x14ac:dyDescent="0.2">
      <c r="A1204" t="s">
        <v>3959</v>
      </c>
      <c r="B1204" t="s">
        <v>1912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2">
      <c r="A1205" t="s">
        <v>3960</v>
      </c>
      <c r="B1205" t="s">
        <v>1913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2">
      <c r="A1206" t="s">
        <v>3961</v>
      </c>
      <c r="B1206" t="s">
        <v>1914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2">
      <c r="A1207" t="s">
        <v>3962</v>
      </c>
      <c r="B1207" t="s">
        <v>1915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2">
      <c r="A1208" t="s">
        <v>3963</v>
      </c>
      <c r="B1208" t="s">
        <v>1916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2">
      <c r="A1209" t="s">
        <v>3964</v>
      </c>
      <c r="B1209" t="s">
        <v>1917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2">
      <c r="A1210" t="s">
        <v>3965</v>
      </c>
      <c r="B1210" t="s">
        <v>1918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2">
      <c r="A1211" t="s">
        <v>3966</v>
      </c>
      <c r="B1211" t="s">
        <v>1919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2">
      <c r="A1212" t="s">
        <v>3967</v>
      </c>
      <c r="B1212" t="s">
        <v>1920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2">
      <c r="A1213" t="s">
        <v>3968</v>
      </c>
      <c r="B1213" t="s">
        <v>1921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2">
      <c r="A1214" t="s">
        <v>3969</v>
      </c>
      <c r="B1214" t="s">
        <v>1922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2">
      <c r="A1215" t="s">
        <v>3970</v>
      </c>
      <c r="B1215" t="s">
        <v>1923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2">
      <c r="A1216" t="s">
        <v>3971</v>
      </c>
      <c r="B1216" t="s">
        <v>1924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3972</v>
      </c>
      <c r="B1217" t="s">
        <v>1925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3973</v>
      </c>
      <c r="B1218" t="s">
        <v>1926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3974</v>
      </c>
      <c r="B1219" t="s">
        <v>1927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3975</v>
      </c>
      <c r="B1220" t="s">
        <v>1928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3976</v>
      </c>
      <c r="B1221" t="s">
        <v>1929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3977</v>
      </c>
      <c r="B1222" t="s">
        <v>1930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3978</v>
      </c>
      <c r="B1223" t="s">
        <v>1931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3979</v>
      </c>
      <c r="B1224" t="s">
        <v>1932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3980</v>
      </c>
      <c r="B1225" t="s">
        <v>1933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3981</v>
      </c>
      <c r="B1226" t="s">
        <v>1934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3982</v>
      </c>
      <c r="B1227" t="s">
        <v>1935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3983</v>
      </c>
      <c r="B1228" t="s">
        <v>1936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3984</v>
      </c>
      <c r="B1229" t="s">
        <v>1937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3985</v>
      </c>
      <c r="B1230" t="s">
        <v>1938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3986</v>
      </c>
      <c r="B1231" t="s">
        <v>1939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3987</v>
      </c>
      <c r="B1232" t="s">
        <v>1940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3988</v>
      </c>
      <c r="B1233" t="s">
        <v>1941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3989</v>
      </c>
      <c r="B1234" t="s">
        <v>1942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3990</v>
      </c>
      <c r="B1235" t="s">
        <v>1943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3991</v>
      </c>
      <c r="B1236" t="s">
        <v>1944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3992</v>
      </c>
      <c r="B1237" t="s">
        <v>1945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3993</v>
      </c>
      <c r="B1238" t="s">
        <v>1946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3994</v>
      </c>
      <c r="B1239" t="s">
        <v>1947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3995</v>
      </c>
      <c r="B1240" t="s">
        <v>1948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3996</v>
      </c>
      <c r="B1241" t="s">
        <v>1949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3997</v>
      </c>
      <c r="B1242" t="s">
        <v>1950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3998</v>
      </c>
      <c r="B1243" t="s">
        <v>1951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3999</v>
      </c>
      <c r="B1244" t="s">
        <v>1952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4000</v>
      </c>
      <c r="B1245" t="s">
        <v>1953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4001</v>
      </c>
      <c r="B1246" t="s">
        <v>1954</v>
      </c>
      <c r="D1246" t="b">
        <f>IFERROR(VLOOKUP(B1246,PatData!$A$2:$A$2000,1,),"")&lt;&gt;""</f>
        <v>1</v>
      </c>
      <c r="E1246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4002</v>
      </c>
      <c r="B1247" t="s">
        <v>1955</v>
      </c>
      <c r="D1247" t="b">
        <f>IFERROR(VLOOKUP(B1247,PatData!$A$2:$A$2000,1,),"")&lt;&gt;""</f>
        <v>1</v>
      </c>
      <c r="E1247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4003</v>
      </c>
      <c r="B1248" t="s">
        <v>1956</v>
      </c>
      <c r="D1248" t="b">
        <f>IFERROR(VLOOKUP(B1248,PatData!$A$2:$A$2000,1,),"")&lt;&gt;""</f>
        <v>1</v>
      </c>
      <c r="E1248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4004</v>
      </c>
      <c r="B1249" t="s">
        <v>1957</v>
      </c>
      <c r="D1249" t="b">
        <f>IFERROR(VLOOKUP(B1249,PatData!$A$2:$A$2000,1,),"")&lt;&gt;""</f>
        <v>1</v>
      </c>
      <c r="E1249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4005</v>
      </c>
      <c r="B1250" t="s">
        <v>1958</v>
      </c>
      <c r="D1250" t="b">
        <f>IFERROR(VLOOKUP(B1250,PatData!$A$2:$A$2000,1,),"")&lt;&gt;""</f>
        <v>1</v>
      </c>
      <c r="E1250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4006</v>
      </c>
      <c r="B1251" t="s">
        <v>1959</v>
      </c>
      <c r="D1251" t="b">
        <f>IFERROR(VLOOKUP(B1251,PatData!$A$2:$A$2000,1,),"")&lt;&gt;""</f>
        <v>1</v>
      </c>
      <c r="E1251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4007</v>
      </c>
      <c r="B1252" t="s">
        <v>1960</v>
      </c>
      <c r="D1252" t="b">
        <f>IFERROR(VLOOKUP(B1252,PatData!$A$2:$A$2000,1,),"")&lt;&gt;""</f>
        <v>1</v>
      </c>
      <c r="E1252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4008</v>
      </c>
      <c r="B1253" t="s">
        <v>1961</v>
      </c>
      <c r="D1253" t="b">
        <f>IFERROR(VLOOKUP(B1253,PatData!$A$2:$A$2000,1,),"")&lt;&gt;""</f>
        <v>1</v>
      </c>
      <c r="E1253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4009</v>
      </c>
      <c r="B1254" t="s">
        <v>1962</v>
      </c>
      <c r="D1254" t="b">
        <f>IFERROR(VLOOKUP(B1254,PatData!$A$2:$A$2000,1,),"")&lt;&gt;""</f>
        <v>1</v>
      </c>
      <c r="E1254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4010</v>
      </c>
      <c r="B1255" t="s">
        <v>1963</v>
      </c>
      <c r="D1255" t="b">
        <f>IFERROR(VLOOKUP(B1255,PatData!$A$2:$A$2000,1,),"")&lt;&gt;""</f>
        <v>1</v>
      </c>
      <c r="E1255"/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4011</v>
      </c>
      <c r="B1256" t="s">
        <v>1964</v>
      </c>
      <c r="D1256" t="b">
        <f>IFERROR(VLOOKUP(B1256,PatData!$A$2:$A$2000,1,),"")&lt;&gt;""</f>
        <v>1</v>
      </c>
      <c r="E1256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4012</v>
      </c>
      <c r="B1257" t="s">
        <v>1965</v>
      </c>
      <c r="D1257" t="b">
        <f>IFERROR(VLOOKUP(B1257,PatData!$A$2:$A$2000,1,),"")&lt;&gt;""</f>
        <v>1</v>
      </c>
      <c r="E1257"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4013</v>
      </c>
      <c r="B1258" t="s">
        <v>1966</v>
      </c>
      <c r="D1258" t="b">
        <f>IFERROR(VLOOKUP(B1258,PatData!$A$2:$A$2000,1,),"")&lt;&gt;""</f>
        <v>1</v>
      </c>
      <c r="E1258"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4014</v>
      </c>
      <c r="B1259" t="s">
        <v>1967</v>
      </c>
      <c r="D1259" t="b">
        <f>IFERROR(VLOOKUP(B1259,PatData!$A$2:$A$2000,1,),"")&lt;&gt;""</f>
        <v>1</v>
      </c>
      <c r="E1259"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4015</v>
      </c>
      <c r="B1260" t="s">
        <v>1968</v>
      </c>
      <c r="D1260" t="b">
        <f>IFERROR(VLOOKUP(B1260,PatData!$A$2:$A$2000,1,),"")&lt;&gt;""</f>
        <v>1</v>
      </c>
      <c r="E1260"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4016</v>
      </c>
      <c r="B1261" t="s">
        <v>1969</v>
      </c>
      <c r="D1261" t="b">
        <f>IFERROR(VLOOKUP(B1261,PatData!$A$2:$A$2000,1,),"")&lt;&gt;""</f>
        <v>1</v>
      </c>
      <c r="E1261"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4017</v>
      </c>
      <c r="B1262" t="s">
        <v>1970</v>
      </c>
      <c r="D1262" t="b">
        <f>IFERROR(VLOOKUP(B1262,PatData!$A$2:$A$2000,1,),"")&lt;&gt;""</f>
        <v>1</v>
      </c>
      <c r="E1262"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4018</v>
      </c>
      <c r="B1263" t="s">
        <v>1971</v>
      </c>
      <c r="D1263" t="b">
        <f>IFERROR(VLOOKUP(B1263,PatData!$A$2:$A$2000,1,),"")&lt;&gt;""</f>
        <v>1</v>
      </c>
      <c r="E1263"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4019</v>
      </c>
      <c r="B1264" t="s">
        <v>1972</v>
      </c>
      <c r="D1264" t="b">
        <f>IFERROR(VLOOKUP(B1264,PatData!$A$2:$A$2000,1,),"")&lt;&gt;""</f>
        <v>1</v>
      </c>
      <c r="E1264"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4020</v>
      </c>
      <c r="B1265" t="s">
        <v>1973</v>
      </c>
      <c r="D1265" t="b">
        <f>IFERROR(VLOOKUP(B1265,PatData!$A$2:$A$2000,1,),"")&lt;&gt;""</f>
        <v>1</v>
      </c>
      <c r="E1265"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4021</v>
      </c>
      <c r="B1266" t="s">
        <v>1974</v>
      </c>
      <c r="D1266" t="b">
        <f>IFERROR(VLOOKUP(B1266,PatData!$A$2:$A$2000,1,),"")&lt;&gt;""</f>
        <v>1</v>
      </c>
      <c r="E1266"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4022</v>
      </c>
      <c r="B1267" t="s">
        <v>3022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4022</v>
      </c>
      <c r="B1268" t="s">
        <v>1975</v>
      </c>
      <c r="D1268" t="b">
        <f>IFERROR(VLOOKUP(B1268,PatData!$A$2:$A$2000,1,),"")&lt;&gt;""</f>
        <v>1</v>
      </c>
      <c r="E1268"/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4023</v>
      </c>
      <c r="B1269" t="s">
        <v>1976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4010</v>
      </c>
      <c r="B1270" t="s">
        <v>1791</v>
      </c>
      <c r="D1270" t="b">
        <f>IFERROR(VLOOKUP(B1270,PatData!$A$2:$A$2000,1,),"")&lt;&gt;""</f>
        <v>1</v>
      </c>
      <c r="E1270"/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5125</v>
      </c>
      <c r="B1271" t="s">
        <v>3023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5126</v>
      </c>
      <c r="B1272" t="s">
        <v>3024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5127</v>
      </c>
      <c r="B1273" t="s">
        <v>3025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5128</v>
      </c>
      <c r="B1274" t="s">
        <v>3026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5129</v>
      </c>
      <c r="B1275" t="s">
        <v>3027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5130</v>
      </c>
      <c r="B1276" t="s">
        <v>3028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5131</v>
      </c>
      <c r="B1277" t="s">
        <v>3029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5132</v>
      </c>
      <c r="B1278" t="s">
        <v>3030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5133</v>
      </c>
      <c r="B1279" t="s">
        <v>3031</v>
      </c>
      <c r="D1279" t="b">
        <f>IFERROR(VLOOKUP(B1279,PatData!$A$2:$A$2000,1,),"")&lt;&gt;""</f>
        <v>1</v>
      </c>
      <c r="E1279"/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5134</v>
      </c>
      <c r="B1280" t="s">
        <v>3032</v>
      </c>
      <c r="D1280" t="b">
        <f>IFERROR(VLOOKUP(B1280,PatData!$A$2:$A$2000,1,),"")&lt;&gt;""</f>
        <v>1</v>
      </c>
      <c r="E1280"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5135</v>
      </c>
      <c r="B1281" t="s">
        <v>3045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5136</v>
      </c>
      <c r="B1282" t="s">
        <v>3046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5137</v>
      </c>
      <c r="B1283" t="s">
        <v>3047</v>
      </c>
      <c r="D1283" t="b">
        <f>IFERROR(VLOOKUP(B1283,PatData!$A$2:$A$2000,1,),"")&lt;&gt;""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5138</v>
      </c>
      <c r="B1284" t="s">
        <v>3048</v>
      </c>
      <c r="D1284" t="b">
        <f>IFERROR(VLOOKUP(B1284,PatData!$A$2:$A$2000,1,),"")&lt;&gt;""</f>
        <v>1</v>
      </c>
      <c r="E1284">
        <v>0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1111</v>
      </c>
      <c r="B1285" t="s">
        <v>1046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1112</v>
      </c>
      <c r="B1286" t="s">
        <v>1047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1113</v>
      </c>
      <c r="B1287" t="s">
        <v>1048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1114</v>
      </c>
      <c r="B1288" t="s">
        <v>1049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1115</v>
      </c>
      <c r="B1289" t="s">
        <v>1050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1116</v>
      </c>
      <c r="B1290" t="s">
        <v>1051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4361</v>
      </c>
      <c r="B1291" t="s">
        <v>3049</v>
      </c>
      <c r="D1291" t="b">
        <f>IFERROR(VLOOKUP(B1291,PatData!$A$2:$A$2000,1,),"")&lt;&gt;""</f>
        <v>1</v>
      </c>
      <c r="E1291"/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1117</v>
      </c>
      <c r="B1292" t="s">
        <v>3050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1118</v>
      </c>
      <c r="B1293" t="s">
        <v>3051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1119</v>
      </c>
      <c r="B1294" t="s">
        <v>3052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1120</v>
      </c>
      <c r="B1295" t="s">
        <v>3053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1121</v>
      </c>
      <c r="B1296" t="s">
        <v>3054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1122</v>
      </c>
      <c r="B1297" t="s">
        <v>3055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1123</v>
      </c>
      <c r="B1298" t="s">
        <v>3056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1124</v>
      </c>
      <c r="B1299" t="s">
        <v>3057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1125</v>
      </c>
      <c r="B1300" t="s">
        <v>3058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1126</v>
      </c>
      <c r="B1301" t="s">
        <v>3059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1127</v>
      </c>
      <c r="B1302" t="s">
        <v>3060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1128</v>
      </c>
      <c r="B1303" t="s">
        <v>3061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1129</v>
      </c>
      <c r="B1304" t="s">
        <v>3062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1130</v>
      </c>
      <c r="B1305" t="s">
        <v>3063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1131</v>
      </c>
      <c r="B1306" t="s">
        <v>3064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1132</v>
      </c>
      <c r="B1307" t="s">
        <v>3065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1133</v>
      </c>
      <c r="B1308" t="s">
        <v>3066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1134</v>
      </c>
      <c r="B1309" t="s">
        <v>3067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1135</v>
      </c>
      <c r="B1310" t="s">
        <v>3068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1136</v>
      </c>
      <c r="B1311" t="s">
        <v>3069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1137</v>
      </c>
      <c r="B1312" t="s">
        <v>3070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1138</v>
      </c>
      <c r="B1313" t="s">
        <v>3071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1139</v>
      </c>
      <c r="B1314" t="s">
        <v>3072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1140</v>
      </c>
      <c r="B1315" t="s">
        <v>3073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1141</v>
      </c>
      <c r="B1316" t="s">
        <v>3074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1142</v>
      </c>
      <c r="B1317" t="s">
        <v>3075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1143</v>
      </c>
      <c r="B1318" t="s">
        <v>3076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1144</v>
      </c>
      <c r="B1319" t="s">
        <v>3077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1145</v>
      </c>
      <c r="B1320" t="s">
        <v>3078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1146</v>
      </c>
      <c r="B1321" t="s">
        <v>3079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1147</v>
      </c>
      <c r="B1322" t="s">
        <v>3080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1148</v>
      </c>
      <c r="B1323" t="s">
        <v>3081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1149</v>
      </c>
      <c r="B1324" t="s">
        <v>3082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1150</v>
      </c>
      <c r="B1325" t="s">
        <v>3083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1151</v>
      </c>
      <c r="B1326" t="s">
        <v>3084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1152</v>
      </c>
      <c r="B1327" t="s">
        <v>3085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1153</v>
      </c>
      <c r="B1328" t="s">
        <v>3086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1154</v>
      </c>
      <c r="B1329" t="s">
        <v>3087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1155</v>
      </c>
      <c r="B1330" t="s">
        <v>3088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1156</v>
      </c>
      <c r="B1331" t="s">
        <v>3089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1157</v>
      </c>
      <c r="B1332" t="s">
        <v>3090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1158</v>
      </c>
      <c r="B1333" t="s">
        <v>3091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1159</v>
      </c>
      <c r="B1334" t="s">
        <v>3092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1160</v>
      </c>
      <c r="B1335" t="s">
        <v>3093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1161</v>
      </c>
      <c r="B1336" t="s">
        <v>3094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1162</v>
      </c>
      <c r="B1337" t="s">
        <v>3095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1163</v>
      </c>
      <c r="B1338" t="s">
        <v>3096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1164</v>
      </c>
      <c r="B1339" t="s">
        <v>3097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1165</v>
      </c>
      <c r="B1340" t="s">
        <v>3098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1166</v>
      </c>
      <c r="B1341" t="s">
        <v>3099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1167</v>
      </c>
      <c r="B1342" t="s">
        <v>3100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1168</v>
      </c>
      <c r="B1343" t="s">
        <v>3101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1169</v>
      </c>
      <c r="B1344" t="s">
        <v>3102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1170</v>
      </c>
      <c r="B1345" t="s">
        <v>3103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1171</v>
      </c>
      <c r="B1346" t="s">
        <v>3104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1172</v>
      </c>
      <c r="B1347" t="s">
        <v>3105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1173</v>
      </c>
      <c r="B1348" t="s">
        <v>3106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1174</v>
      </c>
      <c r="B1349" t="s">
        <v>3107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1175</v>
      </c>
      <c r="B1350" t="s">
        <v>3108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1176</v>
      </c>
      <c r="B1351" t="s">
        <v>3109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1177</v>
      </c>
      <c r="B1352" t="s">
        <v>3110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1178</v>
      </c>
      <c r="B1353" t="s">
        <v>3111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1179</v>
      </c>
      <c r="B1354" t="s">
        <v>3112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1180</v>
      </c>
      <c r="B1355" t="s">
        <v>3113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1181</v>
      </c>
      <c r="B1356" t="s">
        <v>3114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1182</v>
      </c>
      <c r="B1357" t="s">
        <v>3115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1183</v>
      </c>
      <c r="B1358" t="s">
        <v>3116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1184</v>
      </c>
      <c r="B1359" t="s">
        <v>3117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1185</v>
      </c>
      <c r="B1360" t="s">
        <v>3118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1186</v>
      </c>
      <c r="B1361" t="s">
        <v>3119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1187</v>
      </c>
      <c r="B1362" t="s">
        <v>3120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1188</v>
      </c>
      <c r="B1363" t="s">
        <v>3121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1189</v>
      </c>
      <c r="B1364" t="s">
        <v>3122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1190</v>
      </c>
      <c r="B1365" t="s">
        <v>3123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1191</v>
      </c>
      <c r="B1366" t="s">
        <v>3124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1192</v>
      </c>
      <c r="B1367" t="s">
        <v>3125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1193</v>
      </c>
      <c r="B1368" t="s">
        <v>3126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1194</v>
      </c>
      <c r="B1369" t="s">
        <v>3127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1195</v>
      </c>
      <c r="B1370" t="s">
        <v>3128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1196</v>
      </c>
      <c r="B1371" t="s">
        <v>3129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1197</v>
      </c>
      <c r="B1372" t="s">
        <v>3130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1198</v>
      </c>
      <c r="B1373" t="s">
        <v>3131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1199</v>
      </c>
      <c r="B1374" t="s">
        <v>3132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1200</v>
      </c>
      <c r="B1375" t="s">
        <v>3133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1201</v>
      </c>
      <c r="B1376" t="s">
        <v>3134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1202</v>
      </c>
      <c r="B1377" t="s">
        <v>3135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1203</v>
      </c>
      <c r="B1378" t="s">
        <v>3136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1204</v>
      </c>
      <c r="B1379" t="s">
        <v>3137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1205</v>
      </c>
      <c r="B1380" t="s">
        <v>3138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1206</v>
      </c>
      <c r="B1381" t="s">
        <v>3139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1207</v>
      </c>
      <c r="B1382" t="s">
        <v>3140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1208</v>
      </c>
      <c r="B1383" t="s">
        <v>3141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1209</v>
      </c>
      <c r="B1384" t="s">
        <v>3142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1210</v>
      </c>
      <c r="B1385" t="s">
        <v>3143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1211</v>
      </c>
      <c r="B1386" t="s">
        <v>3144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1212</v>
      </c>
      <c r="B1387" t="s">
        <v>3145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1213</v>
      </c>
      <c r="B1388" t="s">
        <v>3146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1214</v>
      </c>
      <c r="B1389" t="s">
        <v>3147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1215</v>
      </c>
      <c r="B1390" t="s">
        <v>3148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1216</v>
      </c>
      <c r="B1391" t="s">
        <v>3149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1217</v>
      </c>
      <c r="B1392" t="s">
        <v>3150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1218</v>
      </c>
      <c r="B1393" t="s">
        <v>3151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1219</v>
      </c>
      <c r="B1394" t="s">
        <v>3152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1220</v>
      </c>
      <c r="B1395" t="s">
        <v>3153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1221</v>
      </c>
      <c r="B1396" t="s">
        <v>3154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1222</v>
      </c>
      <c r="B1397" t="s">
        <v>3155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1223</v>
      </c>
      <c r="B1398" t="s">
        <v>3156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1224</v>
      </c>
      <c r="B1399" t="s">
        <v>3157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1225</v>
      </c>
      <c r="B1400" t="s">
        <v>3158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1226</v>
      </c>
      <c r="B1401" t="s">
        <v>3159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1227</v>
      </c>
      <c r="B1402" t="s">
        <v>3160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1228</v>
      </c>
      <c r="B1403" t="s">
        <v>3161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1229</v>
      </c>
      <c r="B1404" t="s">
        <v>3162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1230</v>
      </c>
      <c r="B1405" t="s">
        <v>3163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1231</v>
      </c>
      <c r="B1406" t="s">
        <v>3164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1232</v>
      </c>
      <c r="B1407" t="s">
        <v>3165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1233</v>
      </c>
      <c r="B1408" t="s">
        <v>3166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1234</v>
      </c>
      <c r="B1409" t="s">
        <v>3167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1235</v>
      </c>
      <c r="B1410" t="s">
        <v>3168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1236</v>
      </c>
      <c r="B1411" t="s">
        <v>3169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1237</v>
      </c>
      <c r="B1412" t="s">
        <v>3170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1238</v>
      </c>
      <c r="B1413" t="s">
        <v>3171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1239</v>
      </c>
      <c r="B1414" t="s">
        <v>3172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1240</v>
      </c>
      <c r="B1415" t="s">
        <v>3173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1241</v>
      </c>
      <c r="B1416" t="s">
        <v>3174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4278</v>
      </c>
      <c r="B1417" t="s">
        <v>3175</v>
      </c>
      <c r="D1417" t="b">
        <f>IFERROR(VLOOKUP(B1417,PatData!$A$2:$A$2000,1,),"")&lt;&gt;""</f>
        <v>1</v>
      </c>
      <c r="E1417"/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1242</v>
      </c>
      <c r="B1418" t="s">
        <v>3176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1243</v>
      </c>
      <c r="B1419" t="s">
        <v>3177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1244</v>
      </c>
      <c r="B1420" t="s">
        <v>3178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1245</v>
      </c>
      <c r="B1421" t="s">
        <v>3179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1246</v>
      </c>
      <c r="B1422" t="s">
        <v>3180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1247</v>
      </c>
      <c r="B1423" t="s">
        <v>3181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1248</v>
      </c>
      <c r="B1424" t="s">
        <v>3182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1249</v>
      </c>
      <c r="B1425" t="s">
        <v>3183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1250</v>
      </c>
      <c r="B1426" t="s">
        <v>3184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1251</v>
      </c>
      <c r="B1427" t="s">
        <v>3185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1252</v>
      </c>
      <c r="B1428" t="s">
        <v>3186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1253</v>
      </c>
      <c r="B1429" t="s">
        <v>3187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1254</v>
      </c>
      <c r="B1430" t="s">
        <v>3188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1255</v>
      </c>
      <c r="B1431" t="s">
        <v>3189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1256</v>
      </c>
      <c r="B1432" t="s">
        <v>3190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1257</v>
      </c>
      <c r="B1433" t="s">
        <v>3191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1258</v>
      </c>
      <c r="B1434" t="s">
        <v>3192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1259</v>
      </c>
      <c r="B1435" t="s">
        <v>3193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1260</v>
      </c>
      <c r="B1436" t="s">
        <v>3194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1261</v>
      </c>
      <c r="B1437" t="s">
        <v>3195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1262</v>
      </c>
      <c r="B1438" t="s">
        <v>3196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1263</v>
      </c>
      <c r="B1439" t="s">
        <v>3197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1264</v>
      </c>
      <c r="B1440" t="s">
        <v>3198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1265</v>
      </c>
      <c r="B1441" t="s">
        <v>3199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1266</v>
      </c>
      <c r="B1442" t="s">
        <v>3200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1267</v>
      </c>
      <c r="B1443" t="s">
        <v>3201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1268</v>
      </c>
      <c r="B1444" t="s">
        <v>3202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1269</v>
      </c>
      <c r="B1445" t="s">
        <v>3203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1270</v>
      </c>
      <c r="B1446" t="s">
        <v>3204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1271</v>
      </c>
      <c r="B1447" t="s">
        <v>3205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1272</v>
      </c>
      <c r="B1448" t="s">
        <v>3206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1273</v>
      </c>
      <c r="B1449" t="s">
        <v>3207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5139</v>
      </c>
      <c r="B1450" t="s">
        <v>3208</v>
      </c>
      <c r="D1450" t="b">
        <f>IFERROR(VLOOKUP(B1450,PatData!$A$2:$A$2000,1,),"")&lt;&gt;""</f>
        <v>1</v>
      </c>
      <c r="E1450"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5140</v>
      </c>
      <c r="B1451" t="s">
        <v>3209</v>
      </c>
      <c r="D1451" t="b">
        <f>IFERROR(VLOOKUP(B1451,PatData!$A$2:$A$2000,1,),"")&lt;&gt;""</f>
        <v>1</v>
      </c>
      <c r="E1451"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5141</v>
      </c>
      <c r="B1452" t="s">
        <v>3210</v>
      </c>
      <c r="D1452" t="b">
        <f>IFERROR(VLOOKUP(B1452,PatData!$A$2:$A$2000,1,),"")&lt;&gt;""</f>
        <v>1</v>
      </c>
      <c r="E1452"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5142</v>
      </c>
      <c r="B1453" t="s">
        <v>3211</v>
      </c>
      <c r="D1453" t="b">
        <f>IFERROR(VLOOKUP(B1453,PatData!$A$2:$A$2000,1,),"")&lt;&gt;""</f>
        <v>1</v>
      </c>
      <c r="E1453"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5143</v>
      </c>
      <c r="B1454" t="s">
        <v>3212</v>
      </c>
      <c r="D1454" t="b">
        <f>IFERROR(VLOOKUP(B1454,PatData!$A$2:$A$2000,1,),"")&lt;&gt;""</f>
        <v>1</v>
      </c>
      <c r="E1454"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5144</v>
      </c>
      <c r="B1455" t="s">
        <v>3213</v>
      </c>
      <c r="D1455" t="b">
        <f>IFERROR(VLOOKUP(B1455,PatData!$A$2:$A$2000,1,),"")&lt;&gt;""</f>
        <v>1</v>
      </c>
      <c r="E1455"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5145</v>
      </c>
      <c r="B1456" t="s">
        <v>3214</v>
      </c>
      <c r="D1456" t="b">
        <f>IFERROR(VLOOKUP(B1456,PatData!$A$2:$A$2000,1,),"")&lt;&gt;""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5146</v>
      </c>
      <c r="B1457" t="s">
        <v>3215</v>
      </c>
      <c r="D1457" t="b">
        <f>IFERROR(VLOOKUP(B1457,PatData!$A$2:$A$2000,1,),"")&lt;&gt;""</f>
        <v>1</v>
      </c>
      <c r="E1457"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5147</v>
      </c>
      <c r="B1458" t="s">
        <v>3216</v>
      </c>
      <c r="D1458" t="b">
        <f>IFERROR(VLOOKUP(B1458,PatData!$A$2:$A$2000,1,),"")&lt;&gt;""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5148</v>
      </c>
      <c r="B1459" t="s">
        <v>3217</v>
      </c>
      <c r="D1459" t="b">
        <f>IFERROR(VLOOKUP(B1459,PatData!$A$2:$A$2000,1,),"")&lt;&gt;""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5149</v>
      </c>
      <c r="B1460" t="s">
        <v>3218</v>
      </c>
      <c r="D1460" t="b">
        <f>IFERROR(VLOOKUP(B1460,PatData!$A$2:$A$2000,1,),"")&lt;&gt;""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5150</v>
      </c>
      <c r="B1461" t="s">
        <v>3219</v>
      </c>
      <c r="D1461" t="b">
        <f>IFERROR(VLOOKUP(B1461,PatData!$A$2:$A$2000,1,),"")&lt;&gt;""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5151</v>
      </c>
      <c r="B1462" t="s">
        <v>3220</v>
      </c>
      <c r="D1462" t="b">
        <f>IFERROR(VLOOKUP(B1462,PatData!$A$2:$A$2000,1,),"")&lt;&gt;""</f>
        <v>1</v>
      </c>
      <c r="E1462"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5152</v>
      </c>
      <c r="B1463" t="s">
        <v>3221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5153</v>
      </c>
      <c r="B1464" t="s">
        <v>3222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5154</v>
      </c>
      <c r="B1465" t="s">
        <v>4074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5155</v>
      </c>
      <c r="B1466" t="s">
        <v>4075</v>
      </c>
      <c r="D1466" t="b">
        <f>IFERROR(VLOOKUP(B1466,PatData!$A$2:$A$2000,1,),"")&lt;&gt;""</f>
        <v>1</v>
      </c>
      <c r="E1466"/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5156</v>
      </c>
      <c r="B1467" t="s">
        <v>4076</v>
      </c>
      <c r="D1467" t="b">
        <f>IFERROR(VLOOKUP(B1467,PatData!$A$2:$A$2000,1,),"")&lt;&gt;""</f>
        <v>1</v>
      </c>
      <c r="E1467"/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5157</v>
      </c>
      <c r="B1468" t="s">
        <v>4077</v>
      </c>
      <c r="D1468" t="b">
        <f>IFERROR(VLOOKUP(B1468,PatData!$A$2:$A$2000,1,),"")&lt;&gt;""</f>
        <v>1</v>
      </c>
      <c r="E1468"/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5158</v>
      </c>
      <c r="B1469" t="s">
        <v>4078</v>
      </c>
      <c r="D1469" t="b">
        <f>IFERROR(VLOOKUP(B1469,PatData!$A$2:$A$2000,1,),"")&lt;&gt;""</f>
        <v>1</v>
      </c>
      <c r="E1469"/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5159</v>
      </c>
      <c r="B1470" t="s">
        <v>3223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5160</v>
      </c>
      <c r="B1471" t="s">
        <v>3224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5161</v>
      </c>
      <c r="B1472" t="s">
        <v>3225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5162</v>
      </c>
      <c r="B1473" t="s">
        <v>3226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5163</v>
      </c>
      <c r="B1474" t="s">
        <v>3227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5164</v>
      </c>
      <c r="B1475" t="s">
        <v>3228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5165</v>
      </c>
      <c r="B1476" t="s">
        <v>3229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5166</v>
      </c>
      <c r="B1477" t="s">
        <v>3230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5167</v>
      </c>
      <c r="B1478" t="s">
        <v>3231</v>
      </c>
      <c r="D1478" t="b">
        <f>IFERROR(VLOOKUP(B1478,PatData!$A$2:$A$2000,1,),"")&lt;&gt;""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5168</v>
      </c>
      <c r="B1479" t="s">
        <v>3232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5169</v>
      </c>
      <c r="B1480" t="s">
        <v>3233</v>
      </c>
      <c r="D1480" t="b">
        <f>IFERROR(VLOOKUP(B1480,PatData!$A$2:$A$2000,1,),"")&lt;&gt;""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5170</v>
      </c>
      <c r="B1481" t="s">
        <v>3234</v>
      </c>
      <c r="D1481" t="b">
        <f>IFERROR(VLOOKUP(B1481,PatData!$A$2:$A$2000,1,),"")&lt;&gt;""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5171</v>
      </c>
      <c r="B1482" t="s">
        <v>3235</v>
      </c>
      <c r="D1482" t="b">
        <f>IFERROR(VLOOKUP(B1482,PatData!$A$2:$A$2000,1,),"")&lt;&gt;""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5172</v>
      </c>
      <c r="B1483" t="s">
        <v>3236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5173</v>
      </c>
      <c r="B1484" t="s">
        <v>3237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5174</v>
      </c>
      <c r="B1485" t="s">
        <v>4079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5175</v>
      </c>
      <c r="B1486" t="s">
        <v>4080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5176</v>
      </c>
      <c r="B1487" t="s">
        <v>4081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5177</v>
      </c>
      <c r="B1488" t="s">
        <v>4082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5178</v>
      </c>
      <c r="B1489" t="s">
        <v>4083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1274</v>
      </c>
      <c r="B1490" t="s">
        <v>3238</v>
      </c>
      <c r="D1490" t="b">
        <f>IFERROR(VLOOKUP(B1490,PatData!$A$2:$A$2000,1,),"")&lt;&gt;""</f>
        <v>1</v>
      </c>
      <c r="E1490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1275</v>
      </c>
      <c r="B1491" t="s">
        <v>3239</v>
      </c>
      <c r="D1491" t="b">
        <f>IFERROR(VLOOKUP(B1491,PatData!$A$2:$A$2000,1,),"")&lt;&gt;""</f>
        <v>1</v>
      </c>
      <c r="E1491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1276</v>
      </c>
      <c r="B1492" t="s">
        <v>3240</v>
      </c>
      <c r="D1492" t="b">
        <f>IFERROR(VLOOKUP(B1492,PatData!$A$2:$A$2000,1,),"")&lt;&gt;""</f>
        <v>1</v>
      </c>
      <c r="E1492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1277</v>
      </c>
      <c r="B1493" t="s">
        <v>3241</v>
      </c>
      <c r="D1493" t="b">
        <f>IFERROR(VLOOKUP(B1493,PatData!$A$2:$A$2000,1,),"")&lt;&gt;""</f>
        <v>1</v>
      </c>
      <c r="E1493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1278</v>
      </c>
      <c r="B1494" t="s">
        <v>3242</v>
      </c>
      <c r="D1494" t="b">
        <f>IFERROR(VLOOKUP(B1494,PatData!$A$2:$A$2000,1,),"")&lt;&gt;""</f>
        <v>1</v>
      </c>
      <c r="E1494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1279</v>
      </c>
      <c r="B1495" t="s">
        <v>3243</v>
      </c>
      <c r="D1495" t="b">
        <f>IFERROR(VLOOKUP(B1495,PatData!$A$2:$A$2000,1,),"")&lt;&gt;""</f>
        <v>1</v>
      </c>
      <c r="E1495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1280</v>
      </c>
      <c r="B1496" t="s">
        <v>3244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1281</v>
      </c>
      <c r="B1497" t="s">
        <v>3245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1282</v>
      </c>
      <c r="B1498" t="s">
        <v>3246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1283</v>
      </c>
      <c r="B1499" t="s">
        <v>3247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1284</v>
      </c>
      <c r="B1500" t="s">
        <v>3248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1285</v>
      </c>
      <c r="B1501" t="s">
        <v>3249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1286</v>
      </c>
      <c r="B1502" t="s">
        <v>3250</v>
      </c>
      <c r="D1502" t="b">
        <f>IFERROR(VLOOKUP(B1502,PatData!$A$2:$A$2000,1,),"")&lt;&gt;""</f>
        <v>1</v>
      </c>
      <c r="E1502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4084</v>
      </c>
      <c r="B1503" t="s">
        <v>3251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4086</v>
      </c>
      <c r="B1504" t="s">
        <v>3252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4089</v>
      </c>
      <c r="B1505" t="s">
        <v>4085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4091</v>
      </c>
      <c r="B1506" t="s">
        <v>4087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5179</v>
      </c>
      <c r="B1507" t="s">
        <v>4088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5180</v>
      </c>
      <c r="B1508" t="s">
        <v>4090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5181</v>
      </c>
      <c r="B1509" t="s">
        <v>4092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5182</v>
      </c>
      <c r="B1510" t="s">
        <v>3253</v>
      </c>
      <c r="D1510" t="b">
        <f>IFERROR(VLOOKUP(B1510,PatData!$A$2:$A$2000,1,),"")&lt;&gt;""</f>
        <v>1</v>
      </c>
      <c r="E1510"/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5183</v>
      </c>
      <c r="B1511" t="s">
        <v>3254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5184</v>
      </c>
      <c r="B1512" t="s">
        <v>3255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5185</v>
      </c>
      <c r="B1513" t="s">
        <v>3256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5186</v>
      </c>
      <c r="B1514" t="s">
        <v>3257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5187</v>
      </c>
      <c r="B1515" t="s">
        <v>3258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5188</v>
      </c>
      <c r="B1516" t="s">
        <v>3259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5189</v>
      </c>
      <c r="B1517" t="s">
        <v>3260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5190</v>
      </c>
      <c r="B1518" t="s">
        <v>3261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5191</v>
      </c>
      <c r="B1519" t="s">
        <v>3262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5192</v>
      </c>
      <c r="B1520" t="s">
        <v>3263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5193</v>
      </c>
      <c r="B1521" t="s">
        <v>3264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5194</v>
      </c>
      <c r="B1522" t="s">
        <v>3265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5195</v>
      </c>
      <c r="B1523" t="s">
        <v>3266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5196</v>
      </c>
      <c r="B1524" t="s">
        <v>3267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5197</v>
      </c>
      <c r="B1525" t="s">
        <v>3268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5198</v>
      </c>
      <c r="B1526" t="s">
        <v>4093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5199</v>
      </c>
      <c r="B1527" t="s">
        <v>4094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5200</v>
      </c>
      <c r="B1528" t="s">
        <v>4095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5201</v>
      </c>
      <c r="B1529" t="s">
        <v>4096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5202</v>
      </c>
      <c r="B1530" t="s">
        <v>4097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1287</v>
      </c>
      <c r="B1531" t="s">
        <v>3269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1288</v>
      </c>
      <c r="B1532" t="s">
        <v>3270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1289</v>
      </c>
      <c r="B1533" t="s">
        <v>3271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1290</v>
      </c>
      <c r="B1534" t="s">
        <v>3272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1291</v>
      </c>
      <c r="B1535" t="s">
        <v>3273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1292</v>
      </c>
      <c r="B1536" t="s">
        <v>3274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1293</v>
      </c>
      <c r="B1537" t="s">
        <v>3275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1294</v>
      </c>
      <c r="B1538" t="s">
        <v>3276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1295</v>
      </c>
      <c r="B1539" t="s">
        <v>3277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1296</v>
      </c>
      <c r="B1540" t="s">
        <v>3278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1297</v>
      </c>
      <c r="B1541" t="s">
        <v>3279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1298</v>
      </c>
      <c r="B1542" t="s">
        <v>3280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1299</v>
      </c>
      <c r="B1543" t="s">
        <v>3281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4098</v>
      </c>
      <c r="B1544" t="s">
        <v>3282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4100</v>
      </c>
      <c r="B1545" t="s">
        <v>3283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4103</v>
      </c>
      <c r="B1546" t="s">
        <v>4099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4105</v>
      </c>
      <c r="B1547" t="s">
        <v>4101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5203</v>
      </c>
      <c r="B1548" t="s">
        <v>4102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5204</v>
      </c>
      <c r="B1549" t="s">
        <v>4104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5205</v>
      </c>
      <c r="B1550" t="s">
        <v>4106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4362</v>
      </c>
      <c r="B1551" t="s">
        <v>3284</v>
      </c>
      <c r="D1551" t="b">
        <f>IFERROR(VLOOKUP(B1551,PatData!$A$2:$A$2000,1,),"")&lt;&gt;""</f>
        <v>1</v>
      </c>
      <c r="E1551"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4363</v>
      </c>
      <c r="B1552" t="s">
        <v>3285</v>
      </c>
      <c r="D1552" t="b">
        <f>IFERROR(VLOOKUP(B1552,PatData!$A$2:$A$2000,1,),"")&lt;&gt;""</f>
        <v>1</v>
      </c>
      <c r="E1552"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4364</v>
      </c>
      <c r="B1553" t="s">
        <v>3286</v>
      </c>
      <c r="D1553" t="b">
        <f>IFERROR(VLOOKUP(B1553,PatData!$A$2:$A$2000,1,),"")&lt;&gt;""</f>
        <v>1</v>
      </c>
      <c r="E1553">
        <v>2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4365</v>
      </c>
      <c r="B1554" t="s">
        <v>3287</v>
      </c>
      <c r="D1554" t="b">
        <f>IFERROR(VLOOKUP(B1554,PatData!$A$2:$A$2000,1,),"")&lt;&gt;""</f>
        <v>1</v>
      </c>
      <c r="E1554">
        <v>20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4366</v>
      </c>
      <c r="B1555" t="s">
        <v>3288</v>
      </c>
      <c r="D1555" t="b">
        <f>IFERROR(VLOOKUP(B1555,PatData!$A$2:$A$2000,1,),"")&lt;&gt;""</f>
        <v>1</v>
      </c>
      <c r="E1555">
        <v>30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4367</v>
      </c>
      <c r="B1556" t="s">
        <v>3289</v>
      </c>
      <c r="D1556" t="b">
        <f>IFERROR(VLOOKUP(B1556,PatData!$A$2:$A$2000,1,),"")&lt;&gt;""</f>
        <v>1</v>
      </c>
      <c r="E1556">
        <v>1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4368</v>
      </c>
      <c r="B1557" t="s">
        <v>3290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4369</v>
      </c>
      <c r="B1558" t="s">
        <v>3291</v>
      </c>
      <c r="D1558" t="b">
        <f>IFERROR(VLOOKUP(B1558,PatData!$A$2:$A$2000,1,),"")&lt;&gt;""</f>
        <v>1</v>
      </c>
      <c r="E1558">
        <v>10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1421</v>
      </c>
      <c r="B1559" t="s">
        <v>3292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1422</v>
      </c>
      <c r="B1560" t="s">
        <v>3293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1425</v>
      </c>
      <c r="B1561" t="s">
        <v>3294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1426</v>
      </c>
      <c r="B1562" t="s">
        <v>3295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1427</v>
      </c>
      <c r="B1563" t="s">
        <v>3296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1428</v>
      </c>
      <c r="B1564" t="s">
        <v>3297</v>
      </c>
      <c r="D1564" t="b">
        <f>IFERROR(VLOOKUP(B1564,PatData!$A$2:$A$2000,1,),"")&lt;&gt;""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1775</v>
      </c>
      <c r="B1565" t="s">
        <v>3298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1429</v>
      </c>
      <c r="B1566" t="s">
        <v>3299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1430</v>
      </c>
      <c r="B1567" t="s">
        <v>3300</v>
      </c>
      <c r="D1567" t="b">
        <f>IFERROR(VLOOKUP(B1567,PatData!$A$2:$A$2000,1,),"")&lt;&gt;""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1721</v>
      </c>
      <c r="B1568" t="s">
        <v>3301</v>
      </c>
      <c r="D1568" t="b">
        <f>IFERROR(VLOOKUP(B1568,PatData!$A$2:$A$2000,1,),"")&lt;&gt;""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1722</v>
      </c>
      <c r="B1569" t="s">
        <v>3302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1723</v>
      </c>
      <c r="B1570" t="s">
        <v>3303</v>
      </c>
      <c r="D1570" t="b">
        <f>IFERROR(VLOOKUP(B1570,PatData!$A$2:$A$2000,1,),"")&lt;&gt;""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1724</v>
      </c>
      <c r="B1571" t="s">
        <v>3304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1725</v>
      </c>
      <c r="B1572" t="s">
        <v>3305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1726</v>
      </c>
      <c r="B1573" t="s">
        <v>3306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1727</v>
      </c>
      <c r="B1574" t="s">
        <v>3307</v>
      </c>
      <c r="D1574" t="b">
        <f>IFERROR(VLOOKUP(B1574,PatData!$A$2:$A$2000,1,),"")&lt;&gt;""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4277</v>
      </c>
      <c r="B1575" t="s">
        <v>3308</v>
      </c>
      <c r="D1575" t="b">
        <f>IFERROR(VLOOKUP(B1575,PatData!$A$2:$A$2000,1,),"")&lt;&gt;""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1729</v>
      </c>
      <c r="B1576" t="s">
        <v>3309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1755</v>
      </c>
      <c r="B1577" t="s">
        <v>3310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1756</v>
      </c>
      <c r="B1578" t="s">
        <v>3311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1757</v>
      </c>
      <c r="B1579" t="s">
        <v>3312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1759</v>
      </c>
      <c r="B1580" t="s">
        <v>3313</v>
      </c>
      <c r="D1580" t="b">
        <f>IFERROR(VLOOKUP(B1580,PatData!$A$2:$A$2000,1,),"")&lt;&gt;""</f>
        <v>1</v>
      </c>
      <c r="E1580"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1761</v>
      </c>
      <c r="B1581" t="s">
        <v>3314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1760</v>
      </c>
      <c r="B1582" t="s">
        <v>3315</v>
      </c>
      <c r="D1582" t="b">
        <f>IFERROR(VLOOKUP(B1582,PatData!$A$2:$A$2000,1,),"")&lt;&gt;""</f>
        <v>1</v>
      </c>
      <c r="E1582">
        <v>1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1758</v>
      </c>
      <c r="B1583" t="s">
        <v>3316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1784</v>
      </c>
      <c r="B1584" t="s">
        <v>3317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1785</v>
      </c>
      <c r="B1585" t="s">
        <v>3318</v>
      </c>
      <c r="D1585" t="b">
        <f>IFERROR(VLOOKUP(B1585,PatData!$A$2:$A$2000,1,),"")&lt;&gt;""</f>
        <v>1</v>
      </c>
      <c r="E1585">
        <v>1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1783</v>
      </c>
      <c r="B1586" t="s">
        <v>3319</v>
      </c>
      <c r="D1586" t="b">
        <f>IFERROR(VLOOKUP(B1586,PatData!$A$2:$A$2000,1,),"")&lt;&gt;""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e">
        <v>#NAME?</v>
      </c>
      <c r="B1587" t="s">
        <v>1052</v>
      </c>
      <c r="D1587" t="b">
        <f>IFERROR(VLOOKUP(B1587,PatData!$A$2:$A$2000,1,),"")&lt;&gt;""</f>
        <v>0</v>
      </c>
      <c r="E1587">
        <v>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2">
      <c r="A1588" t="s">
        <v>1731</v>
      </c>
      <c r="B1588" t="s">
        <v>1053</v>
      </c>
      <c r="D1588" t="b">
        <f>IFERROR(VLOOKUP(B1588,PatData!$A$2:$A$2000,1,),"")&lt;&gt;""</f>
        <v>0</v>
      </c>
      <c r="E1588" t="s">
        <v>4024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2">
      <c r="A1589" t="s">
        <v>1732</v>
      </c>
      <c r="B1589" t="s">
        <v>1054</v>
      </c>
      <c r="D1589" t="b">
        <f>IFERROR(VLOOKUP(B1589,PatData!$A$2:$A$2000,1,),"")&lt;&gt;""</f>
        <v>0</v>
      </c>
      <c r="E1589"/>
      <c r="F1589" t="b">
        <v>0</v>
      </c>
      <c r="G1589" t="b">
        <v>0</v>
      </c>
      <c r="H1589" t="b">
        <v>0</v>
      </c>
      <c r="I1589" t="b">
        <v>0</v>
      </c>
    </row>
    <row r="1590" spans="1:9" x14ac:dyDescent="0.2">
      <c r="A1590" t="s">
        <v>1733</v>
      </c>
      <c r="B1590" t="s">
        <v>1055</v>
      </c>
      <c r="D1590" t="b">
        <f>IFERROR(VLOOKUP(B1590,PatData!$A$2:$A$2000,1,),"")&lt;&gt;""</f>
        <v>0</v>
      </c>
      <c r="E1590"/>
      <c r="F1590" t="b">
        <v>0</v>
      </c>
      <c r="G1590" t="b">
        <v>0</v>
      </c>
      <c r="H1590" t="b">
        <v>0</v>
      </c>
      <c r="I1590" t="b">
        <v>0</v>
      </c>
    </row>
    <row r="1591" spans="1:9" x14ac:dyDescent="0.2">
      <c r="A1591" t="s">
        <v>1734</v>
      </c>
      <c r="B1591" t="s">
        <v>1056</v>
      </c>
      <c r="D1591" t="b">
        <f>IFERROR(VLOOKUP(B1591,PatData!$A$2:$A$2000,1,),"")&lt;&gt;""</f>
        <v>0</v>
      </c>
      <c r="E1591" t="s">
        <v>4025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2">
      <c r="A1592" t="s">
        <v>1735</v>
      </c>
      <c r="B1592" t="s">
        <v>1057</v>
      </c>
      <c r="D1592" t="b">
        <f>IFERROR(VLOOKUP(B1592,PatData!$A$2:$A$2000,1,),"")&lt;&gt;""</f>
        <v>0</v>
      </c>
      <c r="E1592" t="s">
        <v>4024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2">
      <c r="A1593" t="s">
        <v>1736</v>
      </c>
      <c r="B1593" t="s">
        <v>1058</v>
      </c>
      <c r="D1593" t="b">
        <f>IFERROR(VLOOKUP(B1593,PatData!$A$2:$A$2000,1,),"")&lt;&gt;""</f>
        <v>0</v>
      </c>
      <c r="E1593"/>
      <c r="F1593" t="b">
        <v>0</v>
      </c>
      <c r="G1593" t="b">
        <v>0</v>
      </c>
      <c r="H1593" t="b">
        <v>0</v>
      </c>
      <c r="I1593" t="b">
        <v>0</v>
      </c>
    </row>
    <row r="1594" spans="1:9" x14ac:dyDescent="0.2">
      <c r="A1594" t="s">
        <v>1737</v>
      </c>
      <c r="B1594" t="s">
        <v>1059</v>
      </c>
      <c r="D1594" t="b">
        <f>IFERROR(VLOOKUP(B1594,PatData!$A$2:$A$2000,1,),"")&lt;&gt;""</f>
        <v>0</v>
      </c>
      <c r="E1594" t="s">
        <v>4025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2">
      <c r="A1595" t="s">
        <v>1738</v>
      </c>
      <c r="B1595" t="s">
        <v>1060</v>
      </c>
      <c r="D1595" t="b">
        <f>IFERROR(VLOOKUP(B1595,PatData!$A$2:$A$2000,1,),"")&lt;&gt;""</f>
        <v>0</v>
      </c>
      <c r="E1595" t="s">
        <v>245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2">
      <c r="A1596" t="s">
        <v>1739</v>
      </c>
      <c r="B1596" t="s">
        <v>1061</v>
      </c>
      <c r="D1596" t="b">
        <f>IFERROR(VLOOKUP(B1596,PatData!$A$2:$A$2000,1,),"")&lt;&gt;""</f>
        <v>0</v>
      </c>
      <c r="E1596" t="s">
        <v>245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2">
      <c r="A1597" t="s">
        <v>1740</v>
      </c>
      <c r="B1597" t="s">
        <v>1062</v>
      </c>
      <c r="D1597" t="b">
        <f>IFERROR(VLOOKUP(B1597,PatData!$A$2:$A$2000,1,),"")&lt;&gt;""</f>
        <v>0</v>
      </c>
      <c r="E1597" t="s">
        <v>245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2">
      <c r="A1598" t="s">
        <v>1741</v>
      </c>
      <c r="B1598" t="s">
        <v>1063</v>
      </c>
      <c r="D1598" t="b">
        <f>IFERROR(VLOOKUP(B1598,PatData!$A$2:$A$2000,1,),"")&lt;&gt;""</f>
        <v>0</v>
      </c>
      <c r="E1598" t="s">
        <v>245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2">
      <c r="A1599" t="s">
        <v>1742</v>
      </c>
      <c r="B1599" t="s">
        <v>1064</v>
      </c>
      <c r="D1599" t="b">
        <f>IFERROR(VLOOKUP(B1599,PatData!$A$2:$A$2000,1,),"")&lt;&gt;""</f>
        <v>0</v>
      </c>
      <c r="E1599" t="s">
        <v>245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2">
      <c r="A1600" t="s">
        <v>1743</v>
      </c>
      <c r="B1600" t="s">
        <v>1065</v>
      </c>
      <c r="D1600" t="b">
        <f>IFERROR(VLOOKUP(B1600,PatData!$A$2:$A$2000,1,),"")&lt;&gt;""</f>
        <v>0</v>
      </c>
      <c r="E1600" t="b"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2">
      <c r="A1601" t="s">
        <v>1744</v>
      </c>
      <c r="B1601" t="s">
        <v>1066</v>
      </c>
      <c r="D1601" t="b">
        <f>IFERROR(VLOOKUP(B1601,PatData!$A$2:$A$2000,1,),"")&lt;&gt;""</f>
        <v>0</v>
      </c>
      <c r="E1601"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1745</v>
      </c>
      <c r="B1602" t="s">
        <v>1067</v>
      </c>
      <c r="D1602" t="b">
        <f>IFERROR(VLOOKUP(B1602,PatData!$A$2:$A$2000,1,),"")&lt;&gt;""</f>
        <v>0</v>
      </c>
      <c r="E1602" t="b"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4026</v>
      </c>
      <c r="B1603" t="s">
        <v>1068</v>
      </c>
      <c r="D1603" t="b">
        <f>IFERROR(VLOOKUP(B1603,PatData!$A$2:$A$2000,1,),"")&lt;&gt;""</f>
        <v>0</v>
      </c>
      <c r="E1603" t="b"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4027</v>
      </c>
      <c r="B1604" t="s">
        <v>1069</v>
      </c>
      <c r="D1604" t="b">
        <f>IFERROR(VLOOKUP(B1604,PatData!$A$2:$A$2000,1,),"")&lt;&gt;""</f>
        <v>0</v>
      </c>
      <c r="E1604"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1746</v>
      </c>
      <c r="B1605" t="s">
        <v>1070</v>
      </c>
      <c r="D1605" t="b">
        <f>IFERROR(VLOOKUP(B1605,PatData!$A$2:$A$2000,1,),"")&lt;&gt;""</f>
        <v>0</v>
      </c>
      <c r="E1605" t="b"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1747</v>
      </c>
      <c r="B1606" t="s">
        <v>1071</v>
      </c>
      <c r="D1606" t="b">
        <f>IFERROR(VLOOKUP(B1606,PatData!$A$2:$A$2000,1,),"")&lt;&gt;""</f>
        <v>0</v>
      </c>
      <c r="E1606" t="s">
        <v>1031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1748</v>
      </c>
      <c r="B1607" t="s">
        <v>1072</v>
      </c>
      <c r="D1607" t="b">
        <f>IFERROR(VLOOKUP(B1607,PatData!$A$2:$A$2000,1,),"")&lt;&gt;""</f>
        <v>0</v>
      </c>
      <c r="E1607" t="s">
        <v>4353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1749</v>
      </c>
      <c r="B1608" t="s">
        <v>1073</v>
      </c>
      <c r="D1608" t="b">
        <f>IFERROR(VLOOKUP(B1608,PatData!$A$2:$A$2000,1,),"")&lt;&gt;""</f>
        <v>0</v>
      </c>
      <c r="E1608" t="b">
        <v>1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1750</v>
      </c>
      <c r="B1609" t="s">
        <v>1074</v>
      </c>
      <c r="D1609" t="b">
        <f>IFERROR(VLOOKUP(B1609,PatData!$A$2:$A$2000,1,),"")&lt;&gt;""</f>
        <v>0</v>
      </c>
      <c r="E1609" t="s">
        <v>1029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1751</v>
      </c>
      <c r="B1610" t="s">
        <v>1075</v>
      </c>
      <c r="D1610" t="b">
        <f>IFERROR(VLOOKUP(B1610,PatData!$A$2:$A$2000,1,),"")&lt;&gt;""</f>
        <v>0</v>
      </c>
      <c r="E1610" t="b">
        <v>1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1752</v>
      </c>
      <c r="B1611" t="s">
        <v>1076</v>
      </c>
      <c r="D1611" t="b">
        <f>IFERROR(VLOOKUP(B1611,PatData!$A$2:$A$2000,1,),"")&lt;&gt;""</f>
        <v>0</v>
      </c>
      <c r="E1611" t="s">
        <v>1023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1753</v>
      </c>
      <c r="B1612" t="s">
        <v>1077</v>
      </c>
      <c r="D1612" t="b">
        <f>IFERROR(VLOOKUP(B1612,PatData!$A$2:$A$2000,1,),"")&lt;&gt;""</f>
        <v>0</v>
      </c>
      <c r="E1612" t="s">
        <v>1024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1754</v>
      </c>
      <c r="B1613" t="s">
        <v>1078</v>
      </c>
      <c r="D1613" t="b">
        <f>IFERROR(VLOOKUP(B1613,PatData!$A$2:$A$2000,1,),"")&lt;&gt;""</f>
        <v>0</v>
      </c>
      <c r="E1613" t="s">
        <v>1027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5206</v>
      </c>
      <c r="B1614" t="s">
        <v>5047</v>
      </c>
      <c r="D1614" t="b">
        <f>IFERROR(VLOOKUP(B1614,PatData!$A$2:$A$2000,1,),"")&lt;&gt;""</f>
        <v>0</v>
      </c>
      <c r="E1614"/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5207</v>
      </c>
      <c r="B1615" t="s">
        <v>5046</v>
      </c>
      <c r="D1615" t="b">
        <f>IFERROR(VLOOKUP(B1615,PatData!$A$2:$A$2000,1,),"")&lt;&gt;""</f>
        <v>0</v>
      </c>
      <c r="E1615"/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5208</v>
      </c>
      <c r="B1616" t="s">
        <v>5074</v>
      </c>
      <c r="D1616" t="b">
        <f>IFERROR(VLOOKUP(B1616,PatData!$A$2:$A$2000,1,),"")&lt;&gt;""</f>
        <v>0</v>
      </c>
      <c r="E1616"/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5209</v>
      </c>
      <c r="B1617" t="s">
        <v>5058</v>
      </c>
      <c r="D1617" t="b">
        <f>IFERROR(VLOOKUP(B1617,PatData!$A$2:$A$2000,1,),"")&lt;&gt;""</f>
        <v>0</v>
      </c>
      <c r="E1617" t="s">
        <v>227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5210</v>
      </c>
      <c r="B1618" t="s">
        <v>5059</v>
      </c>
      <c r="D1618" t="b">
        <f>IFERROR(VLOOKUP(B1618,PatData!$A$2:$A$2000,1,),"")&lt;&gt;""</f>
        <v>0</v>
      </c>
      <c r="E1618"/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5033</v>
      </c>
      <c r="B1619" t="s">
        <v>1987</v>
      </c>
      <c r="D1619" t="b">
        <f>IFERROR(VLOOKUP(B1619,PatData!$A$2:$A$2000,1,),"")&lt;&gt;""</f>
        <v>0</v>
      </c>
      <c r="E1619" t="s">
        <v>155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3397</v>
      </c>
      <c r="B1620" t="s">
        <v>3398</v>
      </c>
      <c r="D1620" t="b">
        <f>IFERROR(VLOOKUP(B1620,PatData!$A$2:$A$2000,1,),"")&lt;&gt;""</f>
        <v>0</v>
      </c>
      <c r="E1620" t="s">
        <v>3344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1423</v>
      </c>
      <c r="B1621" t="s">
        <v>1988</v>
      </c>
      <c r="D1621" t="b">
        <f>IFERROR(VLOOKUP(B1621,PatData!$A$2:$A$2000,1,),"")&lt;&gt;""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1424</v>
      </c>
      <c r="B1622" t="s">
        <v>1989</v>
      </c>
      <c r="D1622" t="b">
        <f>IFERROR(VLOOKUP(B1622,PatData!$A$2:$A$2000,1,),"")&lt;&gt;""</f>
        <v>0</v>
      </c>
      <c r="E1622"/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1718</v>
      </c>
      <c r="B1623" t="s">
        <v>2018</v>
      </c>
      <c r="D1623" t="b">
        <f>IFERROR(VLOOKUP(B1623,PatData!$A$2:$A$2000,1,),"")&lt;&gt;""</f>
        <v>0</v>
      </c>
      <c r="E1623" t="s">
        <v>555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1712</v>
      </c>
      <c r="B1624" t="s">
        <v>2012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1713</v>
      </c>
      <c r="B1625" t="s">
        <v>2013</v>
      </c>
      <c r="D1625" t="b">
        <f>IFERROR(VLOOKUP(B1625,PatData!$A$2:$A$2000,1,),"")&lt;&gt;""</f>
        <v>0</v>
      </c>
      <c r="E1625"/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1714</v>
      </c>
      <c r="B1626" t="s">
        <v>2014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5211</v>
      </c>
      <c r="B1627" t="s">
        <v>5212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1301</v>
      </c>
      <c r="B1628" t="s">
        <v>1979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1300</v>
      </c>
      <c r="B1629" t="s">
        <v>1980</v>
      </c>
      <c r="D1629" t="b">
        <f>IFERROR(VLOOKUP(B1629,PatData!$A$2:$A$2000,1,),"")&lt;&gt;""</f>
        <v>0</v>
      </c>
      <c r="E1629"/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1302</v>
      </c>
      <c r="B1630" t="s">
        <v>1977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1303</v>
      </c>
      <c r="B1631" t="s">
        <v>1978</v>
      </c>
      <c r="D1631" t="b">
        <f>IFERROR(VLOOKUP(B1631,PatData!$A$2:$A$2000,1,),"")&lt;&gt;""</f>
        <v>0</v>
      </c>
      <c r="E1631"/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1304</v>
      </c>
      <c r="B1632" t="s">
        <v>1981</v>
      </c>
      <c r="D1632" t="b">
        <f>IFERROR(VLOOKUP(B1632,PatData!$A$2:$A$2000,1,),"")&lt;&gt;""</f>
        <v>0</v>
      </c>
      <c r="E1632"/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1728</v>
      </c>
      <c r="B1633" t="s">
        <v>1990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1715</v>
      </c>
      <c r="B1634" t="s">
        <v>2015</v>
      </c>
      <c r="D1634" t="b">
        <f>IFERROR(VLOOKUP(B1634,PatData!$A$2:$A$2000,1,),"")&lt;&gt;""</f>
        <v>0</v>
      </c>
      <c r="E1634" t="s">
        <v>848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1716</v>
      </c>
      <c r="B1635" t="s">
        <v>2016</v>
      </c>
      <c r="D1635" t="b">
        <f>IFERROR(VLOOKUP(B1635,PatData!$A$2:$A$2000,1,),"")&lt;&gt;""</f>
        <v>0</v>
      </c>
      <c r="E1635" t="s">
        <v>847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1717</v>
      </c>
      <c r="B1636" t="s">
        <v>2017</v>
      </c>
      <c r="D1636" t="b">
        <f>IFERROR(VLOOKUP(B1636,PatData!$A$2:$A$2000,1,),"")&lt;&gt;""</f>
        <v>0</v>
      </c>
      <c r="E1636" t="s">
        <v>277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5213</v>
      </c>
      <c r="B1637" t="s">
        <v>5051</v>
      </c>
      <c r="D1637" t="b">
        <f>IFERROR(VLOOKUP(B1637,PatData!$A$2:$A$2000,1,),"")&lt;&gt;""</f>
        <v>0</v>
      </c>
      <c r="E1637"/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5214</v>
      </c>
      <c r="B1638" t="s">
        <v>5215</v>
      </c>
      <c r="D1638" t="b">
        <f>IFERROR(VLOOKUP(B1638,PatData!$A$2:$A$2000,1,),"")&lt;&gt;""</f>
        <v>0</v>
      </c>
      <c r="E1638"/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1730</v>
      </c>
      <c r="B1639" t="s">
        <v>1993</v>
      </c>
      <c r="D1639" t="b">
        <f>IFERROR(VLOOKUP(B1639,PatData!$A$2:$A$2000,1,),"")&lt;&gt;""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1719</v>
      </c>
      <c r="B1640" t="s">
        <v>2019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1720</v>
      </c>
      <c r="B1641" t="s">
        <v>2020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1780</v>
      </c>
      <c r="B1642" t="s">
        <v>2025</v>
      </c>
      <c r="D1642" t="b">
        <f>IFERROR(VLOOKUP(B1642,PatData!$A$2:$A$2000,1,),"")&lt;&gt;""</f>
        <v>0</v>
      </c>
      <c r="E1642" t="s">
        <v>326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1762</v>
      </c>
      <c r="B1643" t="s">
        <v>1994</v>
      </c>
      <c r="D1643" t="b">
        <f>IFERROR(VLOOKUP(B1643,PatData!$A$2:$A$2000,1,),"")&lt;&gt;""</f>
        <v>0</v>
      </c>
      <c r="E1643"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5216</v>
      </c>
      <c r="B1644" t="s">
        <v>5048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4028</v>
      </c>
      <c r="B1645" t="s">
        <v>1788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3399</v>
      </c>
      <c r="B1646" t="s">
        <v>3400</v>
      </c>
      <c r="D1646" t="b">
        <f>IFERROR(VLOOKUP(B1646,PatData!$A$2:$A$2000,1,),"")&lt;&gt;""</f>
        <v>0</v>
      </c>
      <c r="E1646" t="s">
        <v>3326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4029</v>
      </c>
      <c r="B1647" t="s">
        <v>1794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4030</v>
      </c>
      <c r="B1648" t="s">
        <v>1795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4031</v>
      </c>
      <c r="B1649" t="s">
        <v>1793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5217</v>
      </c>
      <c r="B1650" t="s">
        <v>5218</v>
      </c>
      <c r="D1650" t="b">
        <f>IFERROR(VLOOKUP(B1650,PatData!$A$2:$A$2000,1,),"")&lt;&gt;""</f>
        <v>0</v>
      </c>
      <c r="E1650"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4032</v>
      </c>
      <c r="B1651" t="s">
        <v>1797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4033</v>
      </c>
      <c r="B1652" t="s">
        <v>1790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5219</v>
      </c>
      <c r="B1653" t="s">
        <v>5084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4034</v>
      </c>
      <c r="B1654" t="s">
        <v>1789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4035</v>
      </c>
      <c r="B1655" t="s">
        <v>1792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4370</v>
      </c>
      <c r="B1656" t="s">
        <v>1991</v>
      </c>
      <c r="D1656" t="b">
        <f>IFERROR(VLOOKUP(B1656,PatData!$A$2:$A$2000,1,),"")&lt;&gt;""</f>
        <v>0</v>
      </c>
      <c r="E1656">
        <v>30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4371</v>
      </c>
      <c r="B1657" t="s">
        <v>1992</v>
      </c>
      <c r="D1657" t="b">
        <f>IFERROR(VLOOKUP(B1657,PatData!$A$2:$A$2000,1,),"")&lt;&gt;""</f>
        <v>0</v>
      </c>
      <c r="E1657">
        <v>70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5220</v>
      </c>
      <c r="B1658" t="s">
        <v>5221</v>
      </c>
      <c r="D1658" t="b">
        <f>IFERROR(VLOOKUP(B1658,PatData!$A$2:$A$2000,1,),"")&lt;&gt;""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5222</v>
      </c>
      <c r="B1659" t="s">
        <v>5061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5223</v>
      </c>
      <c r="B1660" t="s">
        <v>5060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1776</v>
      </c>
      <c r="B1661" t="s">
        <v>2021</v>
      </c>
      <c r="D1661" t="b">
        <f>IFERROR(VLOOKUP(B1661,PatData!$A$2:$A$2000,1,),"")&lt;&gt;""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1777</v>
      </c>
      <c r="B1662" t="s">
        <v>2022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1778</v>
      </c>
      <c r="B1663" t="s">
        <v>2023</v>
      </c>
      <c r="D1663" t="b">
        <f>IFERROR(VLOOKUP(B1663,PatData!$A$2:$A$2000,1,),"")&lt;&gt;""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1779</v>
      </c>
      <c r="B1664" t="s">
        <v>2024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1781</v>
      </c>
      <c r="B1665" t="s">
        <v>2026</v>
      </c>
      <c r="D1665" t="b">
        <f>IFERROR(VLOOKUP(B1665,PatData!$A$2:$A$2000,1,),"")&lt;&gt;""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1782</v>
      </c>
      <c r="B1666" t="s">
        <v>2027</v>
      </c>
      <c r="D1666" t="b">
        <f>IFERROR(VLOOKUP(B1666,PatData!$A$2:$A$2000,1,),"")&lt;&gt;""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4036</v>
      </c>
      <c r="B1667" t="s">
        <v>1796</v>
      </c>
      <c r="D1667" t="b">
        <f>IFERROR(VLOOKUP(B1667,PatData!$A$2:$A$2000,1,),"")&lt;&gt;""</f>
        <v>0</v>
      </c>
      <c r="E1667">
        <v>1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5224</v>
      </c>
      <c r="B1668" t="s">
        <v>5044</v>
      </c>
      <c r="D1668" t="b">
        <f>IFERROR(VLOOKUP(B1668,PatData!$A$2:$A$2000,1,),"")&lt;&gt;""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1763</v>
      </c>
      <c r="B1669" t="s">
        <v>954</v>
      </c>
      <c r="D1669" t="b">
        <f>IFERROR(VLOOKUP(B1669,PatData!$A$2:$A$2000,1,),"")&lt;&gt;""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1764</v>
      </c>
      <c r="B1670" t="s">
        <v>1079</v>
      </c>
      <c r="D1670" t="b">
        <f>IFERROR(VLOOKUP(B1670,PatData!$A$2:$A$2000,1,),"")&lt;&gt;""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1765</v>
      </c>
      <c r="B1671" t="s">
        <v>953</v>
      </c>
      <c r="D1671" t="b">
        <f>IFERROR(VLOOKUP(B1671,PatData!$A$2:$A$2000,1,),"")&lt;&gt;""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1766</v>
      </c>
      <c r="B1672" t="s">
        <v>950</v>
      </c>
      <c r="D1672" t="b">
        <f>IFERROR(VLOOKUP(B1672,PatData!$A$2:$A$2000,1,),"")&lt;&gt;""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1767</v>
      </c>
      <c r="B1673" t="s">
        <v>952</v>
      </c>
      <c r="D1673" t="b">
        <f>IFERROR(VLOOKUP(B1673,PatData!$A$2:$A$2000,1,),"")&lt;&gt;""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1768</v>
      </c>
      <c r="B1674" t="s">
        <v>951</v>
      </c>
      <c r="D1674" t="b">
        <f>IFERROR(VLOOKUP(B1674,PatData!$A$2:$A$2000,1,),"")&lt;&gt;""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1769</v>
      </c>
      <c r="B1675" t="s">
        <v>1080</v>
      </c>
      <c r="D1675" t="b">
        <f>IFERROR(VLOOKUP(B1675,PatData!$A$2:$A$2000,1,),"")&lt;&gt;""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1770</v>
      </c>
      <c r="B1676" t="s">
        <v>949</v>
      </c>
      <c r="D1676" t="b">
        <f>IFERROR(VLOOKUP(B1676,PatData!$A$2:$A$2000,1,),"")&lt;&gt;""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5225</v>
      </c>
      <c r="B1677" t="s">
        <v>1081</v>
      </c>
      <c r="D1677" t="b">
        <f>IFERROR(VLOOKUP(B1677,PatData!$A$2:$A$2000,1,),"")&lt;&gt;""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5226</v>
      </c>
      <c r="B1678" t="s">
        <v>1082</v>
      </c>
      <c r="D1678" t="b">
        <f>IFERROR(VLOOKUP(B1678,PatData!$A$2:$A$2000,1,),"")&lt;&gt;""</f>
        <v>0</v>
      </c>
      <c r="E1678">
        <v>1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1771</v>
      </c>
      <c r="B1679" t="s">
        <v>1083</v>
      </c>
      <c r="D1679" t="b">
        <f>IFERROR(VLOOKUP(B1679,PatData!$A$2:$A$2000,1,),"")&lt;&gt;""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1772</v>
      </c>
      <c r="B1680" t="s">
        <v>1084</v>
      </c>
      <c r="D1680" t="b">
        <f>IFERROR(VLOOKUP(B1680,PatData!$A$2:$A$2000,1,),"")&lt;&gt;""</f>
        <v>0</v>
      </c>
      <c r="E1680"/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5227</v>
      </c>
      <c r="B1681" t="s">
        <v>1085</v>
      </c>
      <c r="D1681" t="b">
        <f>IFERROR(VLOOKUP(B1681,PatData!$A$2:$A$2000,1,),"")&lt;&gt;""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5227</v>
      </c>
      <c r="B1682" t="s">
        <v>1086</v>
      </c>
      <c r="D1682" t="b">
        <f>IFERROR(VLOOKUP(B1682,PatData!$A$2:$A$2000,1,),"")&lt;&gt;""</f>
        <v>0</v>
      </c>
      <c r="E1682"/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5227</v>
      </c>
      <c r="B1683" t="s">
        <v>1087</v>
      </c>
      <c r="D1683" t="b">
        <f>IFERROR(VLOOKUP(B1683,PatData!$A$2:$A$2000,1,),"")&lt;&gt;""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5228</v>
      </c>
      <c r="B1684" t="s">
        <v>1088</v>
      </c>
      <c r="D1684" t="b">
        <f>IFERROR(VLOOKUP(B1684,PatData!$A$2:$A$2000,1,),"")&lt;&gt;""</f>
        <v>0</v>
      </c>
      <c r="E1684" t="s">
        <v>484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1773</v>
      </c>
      <c r="B1685" t="s">
        <v>1089</v>
      </c>
      <c r="D1685" t="b">
        <f>IFERROR(VLOOKUP(B1685,PatData!$A$2:$A$2000,1,),"")&lt;&gt;""</f>
        <v>0</v>
      </c>
      <c r="E1685"/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4037</v>
      </c>
      <c r="B1686" t="s">
        <v>1090</v>
      </c>
      <c r="D1686" t="b">
        <f>IFERROR(VLOOKUP(B1686,PatData!$A$2:$A$2000,1,),"")&lt;&gt;""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1774</v>
      </c>
      <c r="B1687" t="s">
        <v>1091</v>
      </c>
      <c r="D1687" t="b">
        <f>IFERROR(VLOOKUP(B1687,PatData!$A$2:$A$2000,1,),"")&lt;&gt;""</f>
        <v>0</v>
      </c>
      <c r="E1687"/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5229</v>
      </c>
      <c r="B1688" t="s">
        <v>1092</v>
      </c>
      <c r="D1688" t="b">
        <f>IFERROR(VLOOKUP(B1688,PatData!$A$2:$A$2000,1,),"")&lt;&gt;""</f>
        <v>0</v>
      </c>
      <c r="E1688"/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5227</v>
      </c>
      <c r="B1689" t="s">
        <v>1093</v>
      </c>
      <c r="D1689" t="b">
        <f>IFERROR(VLOOKUP(B1689,PatData!$A$2:$A$2000,1,),"")&lt;&gt;""</f>
        <v>0</v>
      </c>
      <c r="E1689"/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5230</v>
      </c>
      <c r="B1690" t="s">
        <v>1094</v>
      </c>
      <c r="D1690" t="b">
        <f>IFERROR(VLOOKUP(B1690,PatData!$A$2:$A$2000,1,),"")&lt;&gt;""</f>
        <v>0</v>
      </c>
      <c r="E1690"/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4058</v>
      </c>
      <c r="B1691" t="s">
        <v>4653</v>
      </c>
      <c r="D1691" t="b">
        <f>IFERROR(VLOOKUP(B1691,PatData!$A$2:$A$2000,1,),"")&lt;&gt;""</f>
        <v>0</v>
      </c>
      <c r="E1691" t="s">
        <v>5231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4059</v>
      </c>
      <c r="B1692" t="s">
        <v>4654</v>
      </c>
      <c r="D1692" t="b">
        <f>IFERROR(VLOOKUP(B1692,PatData!$A$2:$A$2000,1,),"")&lt;&gt;""</f>
        <v>0</v>
      </c>
      <c r="E1692" t="s">
        <v>5232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4060</v>
      </c>
      <c r="B1693" t="s">
        <v>4655</v>
      </c>
      <c r="D1693" t="b">
        <f>IFERROR(VLOOKUP(B1693,PatData!$A$2:$A$2000,1,),"")&lt;&gt;""</f>
        <v>0</v>
      </c>
      <c r="E1693" t="s">
        <v>5233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4061</v>
      </c>
      <c r="B1694" t="s">
        <v>4656</v>
      </c>
      <c r="D1694" t="b">
        <f>IFERROR(VLOOKUP(B1694,PatData!$A$2:$A$2000,1,),"")&lt;&gt;""</f>
        <v>0</v>
      </c>
      <c r="E1694" t="s">
        <v>5234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4062</v>
      </c>
      <c r="B1695" t="s">
        <v>4657</v>
      </c>
      <c r="D1695" t="b">
        <f>IFERROR(VLOOKUP(B1695,PatData!$A$2:$A$2000,1,),"")&lt;&gt;""</f>
        <v>0</v>
      </c>
      <c r="E1695" t="s">
        <v>5235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4063</v>
      </c>
      <c r="B1696" t="s">
        <v>4658</v>
      </c>
      <c r="D1696" t="b">
        <f>IFERROR(VLOOKUP(B1696,PatData!$A$2:$A$2000,1,),"")&lt;&gt;""</f>
        <v>0</v>
      </c>
      <c r="E1696" t="s">
        <v>5236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4064</v>
      </c>
      <c r="B1697" t="s">
        <v>4659</v>
      </c>
      <c r="D1697" t="b">
        <f>IFERROR(VLOOKUP(B1697,PatData!$A$2:$A$2000,1,),"")&lt;&gt;""</f>
        <v>0</v>
      </c>
      <c r="E1697" t="s">
        <v>5237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4065</v>
      </c>
      <c r="B1698" t="s">
        <v>4660</v>
      </c>
      <c r="D1698" t="b">
        <f>IFERROR(VLOOKUP(B1698,PatData!$A$2:$A$2000,1,),"")&lt;&gt;""</f>
        <v>0</v>
      </c>
      <c r="E1698" t="s">
        <v>5238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4067</v>
      </c>
      <c r="B1699" t="s">
        <v>4661</v>
      </c>
      <c r="D1699" t="b">
        <f>IFERROR(VLOOKUP(B1699,PatData!$A$2:$A$2000,1,),"")&lt;&gt;""</f>
        <v>0</v>
      </c>
      <c r="E1699" t="s">
        <v>5239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5240</v>
      </c>
      <c r="B1700" t="s">
        <v>4662</v>
      </c>
      <c r="D1700" t="b">
        <f>IFERROR(VLOOKUP(B1700,PatData!$A$2:$A$2000,1,),"")&lt;&gt;""</f>
        <v>0</v>
      </c>
      <c r="E1700" t="s">
        <v>5241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5242</v>
      </c>
      <c r="B1701" t="s">
        <v>4663</v>
      </c>
      <c r="D1701" t="b">
        <f>IFERROR(VLOOKUP(B1701,PatData!$A$2:$A$2000,1,),"")&lt;&gt;""</f>
        <v>0</v>
      </c>
      <c r="E1701" t="s">
        <v>5243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4038</v>
      </c>
      <c r="B1702" t="s">
        <v>4664</v>
      </c>
      <c r="D1702" t="b">
        <f>IFERROR(VLOOKUP(B1702,PatData!$A$2:$A$2000,1,),"")&lt;&gt;""</f>
        <v>0</v>
      </c>
      <c r="E1702" t="s">
        <v>5244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4039</v>
      </c>
      <c r="B1703" t="s">
        <v>4665</v>
      </c>
      <c r="D1703" t="b">
        <f>IFERROR(VLOOKUP(B1703,PatData!$A$2:$A$2000,1,),"")&lt;&gt;""</f>
        <v>0</v>
      </c>
      <c r="E1703" t="s">
        <v>5245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4040</v>
      </c>
      <c r="B1704" t="s">
        <v>4666</v>
      </c>
      <c r="D1704" t="b">
        <f>IFERROR(VLOOKUP(B1704,PatData!$A$2:$A$2000,1,),"")&lt;&gt;""</f>
        <v>0</v>
      </c>
      <c r="E1704" t="s">
        <v>5246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4041</v>
      </c>
      <c r="B1705" t="s">
        <v>4667</v>
      </c>
      <c r="D1705" t="b">
        <f>IFERROR(VLOOKUP(B1705,PatData!$A$2:$A$2000,1,),"")&lt;&gt;""</f>
        <v>0</v>
      </c>
      <c r="E1705" t="s">
        <v>5247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4042</v>
      </c>
      <c r="B1706" t="s">
        <v>4668</v>
      </c>
      <c r="D1706" t="b">
        <f>IFERROR(VLOOKUP(B1706,PatData!$A$2:$A$2000,1,),"")&lt;&gt;""</f>
        <v>0</v>
      </c>
      <c r="E1706" t="s">
        <v>4669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4043</v>
      </c>
      <c r="B1707" t="s">
        <v>4670</v>
      </c>
      <c r="D1707" t="b">
        <f>IFERROR(VLOOKUP(B1707,PatData!$A$2:$A$2000,1,),"")&lt;&gt;""</f>
        <v>0</v>
      </c>
      <c r="E1707" t="s">
        <v>4671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4044</v>
      </c>
      <c r="B1708" t="s">
        <v>4672</v>
      </c>
      <c r="D1708" t="b">
        <f>IFERROR(VLOOKUP(B1708,PatData!$A$2:$A$2000,1,),"")&lt;&gt;""</f>
        <v>0</v>
      </c>
      <c r="E1708" t="s">
        <v>4673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4045</v>
      </c>
      <c r="B1709" t="s">
        <v>4674</v>
      </c>
      <c r="D1709" t="b">
        <f>IFERROR(VLOOKUP(B1709,PatData!$A$2:$A$2000,1,),"")&lt;&gt;""</f>
        <v>0</v>
      </c>
      <c r="E1709" t="s">
        <v>4675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4046</v>
      </c>
      <c r="B1710" t="s">
        <v>4676</v>
      </c>
      <c r="D1710" t="b">
        <f>IFERROR(VLOOKUP(B1710,PatData!$A$2:$A$2000,1,),"")&lt;&gt;""</f>
        <v>0</v>
      </c>
      <c r="E1710" t="s">
        <v>4677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4047</v>
      </c>
      <c r="B1711" t="s">
        <v>4678</v>
      </c>
      <c r="D1711" t="b">
        <f>IFERROR(VLOOKUP(B1711,PatData!$A$2:$A$2000,1,),"")&lt;&gt;""</f>
        <v>0</v>
      </c>
      <c r="E1711" t="s">
        <v>4679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4048</v>
      </c>
      <c r="B1712" t="s">
        <v>4680</v>
      </c>
      <c r="D1712" t="b">
        <f>IFERROR(VLOOKUP(B1712,PatData!$A$2:$A$2000,1,),"")&lt;&gt;""</f>
        <v>0</v>
      </c>
      <c r="E1712" t="s">
        <v>4681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4049</v>
      </c>
      <c r="B1713" t="s">
        <v>4682</v>
      </c>
      <c r="D1713" t="b">
        <f>IFERROR(VLOOKUP(B1713,PatData!$A$2:$A$2000,1,),"")&lt;&gt;""</f>
        <v>0</v>
      </c>
      <c r="E1713" t="s">
        <v>4683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4050</v>
      </c>
      <c r="B1714" t="s">
        <v>4684</v>
      </c>
      <c r="D1714" t="b">
        <f>IFERROR(VLOOKUP(B1714,PatData!$A$2:$A$2000,1,),"")&lt;&gt;""</f>
        <v>0</v>
      </c>
      <c r="E1714" t="s">
        <v>4685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4051</v>
      </c>
      <c r="B1715" t="s">
        <v>4686</v>
      </c>
      <c r="D1715" t="b">
        <f>IFERROR(VLOOKUP(B1715,PatData!$A$2:$A$2000,1,),"")&lt;&gt;""</f>
        <v>0</v>
      </c>
      <c r="E1715" t="s">
        <v>4687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4052</v>
      </c>
      <c r="B1716" t="s">
        <v>4688</v>
      </c>
      <c r="D1716" t="b">
        <f>IFERROR(VLOOKUP(B1716,PatData!$A$2:$A$2000,1,),"")&lt;&gt;""</f>
        <v>0</v>
      </c>
      <c r="E1716" t="s">
        <v>4689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4053</v>
      </c>
      <c r="B1717" t="s">
        <v>4690</v>
      </c>
      <c r="D1717" t="b">
        <f>IFERROR(VLOOKUP(B1717,PatData!$A$2:$A$2000,1,),"")&lt;&gt;""</f>
        <v>0</v>
      </c>
      <c r="E1717" t="s">
        <v>4917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5248</v>
      </c>
      <c r="B1718" t="s">
        <v>4691</v>
      </c>
      <c r="D1718" t="b">
        <f>IFERROR(VLOOKUP(B1718,PatData!$A$2:$A$2000,1,),"")&lt;&gt;""</f>
        <v>0</v>
      </c>
      <c r="E1718" t="s">
        <v>5249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5250</v>
      </c>
      <c r="B1719" t="s">
        <v>4692</v>
      </c>
      <c r="D1719" t="b">
        <f>IFERROR(VLOOKUP(B1719,PatData!$A$2:$A$2000,1,),"")&lt;&gt;""</f>
        <v>0</v>
      </c>
      <c r="E1719" t="s">
        <v>5251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5252</v>
      </c>
      <c r="B1720" t="s">
        <v>4693</v>
      </c>
      <c r="D1720" t="b">
        <f>IFERROR(VLOOKUP(B1720,PatData!$A$2:$A$2000,1,),"")&lt;&gt;""</f>
        <v>0</v>
      </c>
      <c r="E1720" t="s">
        <v>5253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5254</v>
      </c>
      <c r="B1721" t="s">
        <v>4694</v>
      </c>
      <c r="D1721" t="b">
        <f>IFERROR(VLOOKUP(B1721,PatData!$A$2:$A$2000,1,),"")&lt;&gt;""</f>
        <v>0</v>
      </c>
      <c r="E1721" t="s">
        <v>5255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5256</v>
      </c>
      <c r="B1722" t="s">
        <v>4695</v>
      </c>
      <c r="D1722" t="b">
        <f>IFERROR(VLOOKUP(B1722,PatData!$A$2:$A$2000,1,),"")&lt;&gt;""</f>
        <v>0</v>
      </c>
      <c r="E1722" t="s">
        <v>4918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5257</v>
      </c>
      <c r="B1723" t="s">
        <v>4696</v>
      </c>
      <c r="D1723" t="b">
        <f>IFERROR(VLOOKUP(B1723,PatData!$A$2:$A$2000,1,),"")&lt;&gt;""</f>
        <v>0</v>
      </c>
      <c r="E1723" t="s">
        <v>4919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5258</v>
      </c>
      <c r="B1724" t="s">
        <v>4697</v>
      </c>
      <c r="D1724" t="b">
        <f>IFERROR(VLOOKUP(B1724,PatData!$A$2:$A$2000,1,),"")&lt;&gt;""</f>
        <v>0</v>
      </c>
      <c r="E1724" t="s">
        <v>4920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5259</v>
      </c>
      <c r="B1725" t="s">
        <v>4698</v>
      </c>
      <c r="D1725" t="b">
        <f>IFERROR(VLOOKUP(B1725,PatData!$A$2:$A$2000,1,),"")&lt;&gt;""</f>
        <v>0</v>
      </c>
      <c r="E1725" t="s">
        <v>4921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5260</v>
      </c>
      <c r="B1726" t="s">
        <v>4699</v>
      </c>
      <c r="D1726" t="b">
        <f>IFERROR(VLOOKUP(B1726,PatData!$A$2:$A$2000,1,),"")&lt;&gt;""</f>
        <v>0</v>
      </c>
      <c r="E1726" t="s">
        <v>4922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5261</v>
      </c>
      <c r="B1727" t="s">
        <v>4700</v>
      </c>
      <c r="D1727" t="b">
        <f>IFERROR(VLOOKUP(B1727,PatData!$A$2:$A$2000,1,),"")&lt;&gt;""</f>
        <v>0</v>
      </c>
      <c r="E1727" t="s">
        <v>4923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5262</v>
      </c>
      <c r="B1728" t="s">
        <v>4701</v>
      </c>
      <c r="D1728" t="b">
        <f>IFERROR(VLOOKUP(B1728,PatData!$A$2:$A$2000,1,),"")&lt;&gt;""</f>
        <v>0</v>
      </c>
      <c r="E1728" t="s">
        <v>4924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4054</v>
      </c>
      <c r="B1729" t="s">
        <v>4702</v>
      </c>
      <c r="D1729" t="b">
        <f>IFERROR(VLOOKUP(B1729,PatData!$A$2:$A$2000,1,),"")&lt;&gt;""</f>
        <v>0</v>
      </c>
      <c r="E1729" t="s">
        <v>4925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4055</v>
      </c>
      <c r="B1730" t="s">
        <v>4703</v>
      </c>
      <c r="D1730" t="b">
        <f>IFERROR(VLOOKUP(B1730,PatData!$A$2:$A$2000,1,),"")&lt;&gt;""</f>
        <v>0</v>
      </c>
      <c r="E1730" t="s">
        <v>4926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4056</v>
      </c>
      <c r="B1731" t="s">
        <v>4704</v>
      </c>
      <c r="D1731" t="b">
        <f>IFERROR(VLOOKUP(B1731,PatData!$A$2:$A$2000,1,),"")&lt;&gt;""</f>
        <v>0</v>
      </c>
      <c r="E1731" t="s">
        <v>4066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4057</v>
      </c>
      <c r="B1732" t="s">
        <v>4705</v>
      </c>
      <c r="D1732" t="b">
        <f>IFERROR(VLOOKUP(B1732,PatData!$A$2:$A$2000,1,),"")&lt;&gt;""</f>
        <v>0</v>
      </c>
      <c r="E1732" t="s">
        <v>5263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4582</v>
      </c>
      <c r="B1733" t="s">
        <v>4619</v>
      </c>
      <c r="D1733" t="b">
        <f>IFERROR(VLOOKUP(B1733,PatData!$A$2:$A$2000,1,),"")&lt;&gt;""</f>
        <v>0</v>
      </c>
      <c r="E1733" t="s">
        <v>5264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4583</v>
      </c>
      <c r="B1734" t="s">
        <v>4620</v>
      </c>
      <c r="D1734" t="b">
        <f>IFERROR(VLOOKUP(B1734,PatData!$A$2:$A$2000,1,),"")&lt;&gt;""</f>
        <v>0</v>
      </c>
      <c r="E1734" t="s">
        <v>5265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4584</v>
      </c>
      <c r="B1735" t="s">
        <v>4621</v>
      </c>
      <c r="D1735" t="b">
        <f>IFERROR(VLOOKUP(B1735,PatData!$A$2:$A$2000,1,),"")&lt;&gt;""</f>
        <v>0</v>
      </c>
      <c r="E1735" t="s">
        <v>3406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4585</v>
      </c>
      <c r="B1736" t="s">
        <v>4622</v>
      </c>
      <c r="D1736" t="b">
        <f>IFERROR(VLOOKUP(B1736,PatData!$A$2:$A$2000,1,),"")&lt;&gt;""</f>
        <v>0</v>
      </c>
      <c r="E1736" t="s">
        <v>4068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4586</v>
      </c>
      <c r="B1737" t="s">
        <v>4623</v>
      </c>
      <c r="D1737" t="b">
        <f>IFERROR(VLOOKUP(B1737,PatData!$A$2:$A$2000,1,),"")&lt;&gt;""</f>
        <v>0</v>
      </c>
      <c r="E1737" t="s">
        <v>5266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4587</v>
      </c>
      <c r="B1738" t="s">
        <v>4624</v>
      </c>
      <c r="D1738" t="b">
        <f>IFERROR(VLOOKUP(B1738,PatData!$A$2:$A$2000,1,),"")&lt;&gt;""</f>
        <v>0</v>
      </c>
      <c r="E1738" t="s">
        <v>5267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4588</v>
      </c>
      <c r="B1739" t="s">
        <v>4625</v>
      </c>
      <c r="D1739" t="b">
        <f>IFERROR(VLOOKUP(B1739,PatData!$A$2:$A$2000,1,),"")&lt;&gt;""</f>
        <v>0</v>
      </c>
      <c r="E1739" t="s">
        <v>419</v>
      </c>
      <c r="F1739" t="b">
        <v>0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4589</v>
      </c>
      <c r="B1740" t="s">
        <v>4626</v>
      </c>
      <c r="D1740" t="b">
        <f>IFERROR(VLOOKUP(B1740,PatData!$A$2:$A$2000,1,),"")&lt;&gt;""</f>
        <v>0</v>
      </c>
      <c r="E1740" t="s">
        <v>5268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4590</v>
      </c>
      <c r="B1741" t="s">
        <v>4627</v>
      </c>
      <c r="D1741" t="b">
        <f>IFERROR(VLOOKUP(B1741,PatData!$A$2:$A$2000,1,),"")&lt;&gt;""</f>
        <v>0</v>
      </c>
      <c r="E1741" t="s">
        <v>5269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4591</v>
      </c>
      <c r="B1742" t="s">
        <v>4628</v>
      </c>
      <c r="D1742" t="b">
        <f>IFERROR(VLOOKUP(B1742,PatData!$A$2:$A$2000,1,),"")&lt;&gt;""</f>
        <v>0</v>
      </c>
      <c r="E1742" t="s">
        <v>5270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4592</v>
      </c>
      <c r="B1743" t="s">
        <v>4629</v>
      </c>
      <c r="D1743" t="b">
        <f>IFERROR(VLOOKUP(B1743,PatData!$A$2:$A$2000,1,),"")&lt;&gt;""</f>
        <v>0</v>
      </c>
      <c r="E1743" t="s">
        <v>5271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4593</v>
      </c>
      <c r="B1744" t="s">
        <v>4630</v>
      </c>
      <c r="D1744" t="b">
        <f>IFERROR(VLOOKUP(B1744,PatData!$A$2:$A$2000,1,),"")&lt;&gt;""</f>
        <v>0</v>
      </c>
      <c r="E1744" t="s">
        <v>5272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4594</v>
      </c>
      <c r="B1745" t="s">
        <v>4631</v>
      </c>
      <c r="D1745" t="b">
        <f>IFERROR(VLOOKUP(B1745,PatData!$A$2:$A$2000,1,),"")&lt;&gt;""</f>
        <v>0</v>
      </c>
      <c r="E1745" t="s">
        <v>513</v>
      </c>
      <c r="F1745" t="b">
        <v>0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4595</v>
      </c>
      <c r="B1746" t="s">
        <v>4632</v>
      </c>
      <c r="D1746" t="b">
        <f>IFERROR(VLOOKUP(B1746,PatData!$A$2:$A$2000,1,),"")&lt;&gt;""</f>
        <v>0</v>
      </c>
      <c r="E1746" t="s">
        <v>5273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4596</v>
      </c>
      <c r="B1747" t="s">
        <v>4633</v>
      </c>
      <c r="D1747" t="b">
        <f>IFERROR(VLOOKUP(B1747,PatData!$A$2:$A$2000,1,),"")&lt;&gt;""</f>
        <v>0</v>
      </c>
      <c r="E1747" t="s">
        <v>5274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4597</v>
      </c>
      <c r="B1748" t="s">
        <v>4634</v>
      </c>
      <c r="D1748" t="b">
        <f>IFERROR(VLOOKUP(B1748,PatData!$A$2:$A$2000,1,),"")&lt;&gt;""</f>
        <v>0</v>
      </c>
      <c r="E1748" t="s">
        <v>420</v>
      </c>
      <c r="F1748" t="b">
        <v>0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4598</v>
      </c>
      <c r="B1749" t="s">
        <v>4635</v>
      </c>
      <c r="D1749" t="b">
        <f>IFERROR(VLOOKUP(B1749,PatData!$A$2:$A$2000,1,),"")&lt;&gt;""</f>
        <v>0</v>
      </c>
      <c r="E1749" t="s">
        <v>5275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4599</v>
      </c>
      <c r="B1750" t="s">
        <v>4636</v>
      </c>
      <c r="D1750" t="b">
        <f>IFERROR(VLOOKUP(B1750,PatData!$A$2:$A$2000,1,),"")&lt;&gt;""</f>
        <v>0</v>
      </c>
      <c r="E1750" t="s">
        <v>5276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4600</v>
      </c>
      <c r="B1751" t="s">
        <v>4637</v>
      </c>
      <c r="D1751" t="b">
        <f>IFERROR(VLOOKUP(B1751,PatData!$A$2:$A$2000,1,),"")&lt;&gt;""</f>
        <v>0</v>
      </c>
      <c r="E1751" t="s">
        <v>34</v>
      </c>
      <c r="F1751" t="b">
        <v>0</v>
      </c>
      <c r="G1751" t="b">
        <v>0</v>
      </c>
      <c r="H1751" t="b">
        <v>0</v>
      </c>
      <c r="I1751" t="b">
        <v>0</v>
      </c>
    </row>
    <row r="1752" spans="1:9" x14ac:dyDescent="0.2">
      <c r="A1752" t="s">
        <v>4601</v>
      </c>
      <c r="B1752" t="s">
        <v>4638</v>
      </c>
      <c r="D1752" t="b">
        <f>IFERROR(VLOOKUP(B1752,PatData!$A$2:$A$2000,1,),"")&lt;&gt;""</f>
        <v>0</v>
      </c>
      <c r="E1752" t="s">
        <v>5277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4602</v>
      </c>
      <c r="B1753" t="s">
        <v>4639</v>
      </c>
      <c r="D1753" t="b">
        <f>IFERROR(VLOOKUP(B1753,PatData!$A$2:$A$2000,1,),"")&lt;&gt;""</f>
        <v>0</v>
      </c>
      <c r="E1753" t="s">
        <v>5278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4603</v>
      </c>
      <c r="B1754" t="s">
        <v>4640</v>
      </c>
      <c r="D1754" t="b">
        <f>IFERROR(VLOOKUP(B1754,PatData!$A$2:$A$2000,1,),"")&lt;&gt;""</f>
        <v>0</v>
      </c>
      <c r="E1754" t="s">
        <v>515</v>
      </c>
      <c r="F1754" t="b">
        <v>0</v>
      </c>
      <c r="G1754" t="b">
        <v>0</v>
      </c>
      <c r="H1754" t="b">
        <v>0</v>
      </c>
      <c r="I1754" t="b">
        <v>0</v>
      </c>
    </row>
    <row r="1755" spans="1:9" x14ac:dyDescent="0.2">
      <c r="A1755" t="s">
        <v>4604</v>
      </c>
      <c r="B1755" t="s">
        <v>4641</v>
      </c>
      <c r="D1755" t="b">
        <f>IFERROR(VLOOKUP(B1755,PatData!$A$2:$A$2000,1,),"")&lt;&gt;""</f>
        <v>0</v>
      </c>
      <c r="E1755" t="s">
        <v>5279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4605</v>
      </c>
      <c r="B1756" t="s">
        <v>4642</v>
      </c>
      <c r="D1756" t="b">
        <f>IFERROR(VLOOKUP(B1756,PatData!$A$2:$A$2000,1,),"")&lt;&gt;""</f>
        <v>0</v>
      </c>
      <c r="E1756" t="s">
        <v>5280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4606</v>
      </c>
      <c r="B1757" t="s">
        <v>4643</v>
      </c>
      <c r="D1757" t="b">
        <f>IFERROR(VLOOKUP(B1757,PatData!$A$2:$A$2000,1,),"")&lt;&gt;""</f>
        <v>0</v>
      </c>
      <c r="E1757" t="s">
        <v>514</v>
      </c>
      <c r="F1757" t="b">
        <v>0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4607</v>
      </c>
      <c r="B1758" t="s">
        <v>4644</v>
      </c>
      <c r="D1758" t="b">
        <f>IFERROR(VLOOKUP(B1758,PatData!$A$2:$A$2000,1,),"")&lt;&gt;""</f>
        <v>0</v>
      </c>
      <c r="E1758" t="s">
        <v>5281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4608</v>
      </c>
      <c r="B1759" t="s">
        <v>4645</v>
      </c>
      <c r="D1759" t="b">
        <f>IFERROR(VLOOKUP(B1759,PatData!$A$2:$A$2000,1,),"")&lt;&gt;""</f>
        <v>0</v>
      </c>
      <c r="E1759" t="s">
        <v>5282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4609</v>
      </c>
      <c r="B1760" t="s">
        <v>4646</v>
      </c>
      <c r="D1760" t="b">
        <f>IFERROR(VLOOKUP(B1760,PatData!$A$2:$A$2000,1,),"")&lt;&gt;""</f>
        <v>0</v>
      </c>
      <c r="E1760" t="s">
        <v>326</v>
      </c>
      <c r="F1760" t="b">
        <v>0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4610</v>
      </c>
      <c r="B1761" t="s">
        <v>4647</v>
      </c>
      <c r="D1761" t="b">
        <f>IFERROR(VLOOKUP(B1761,PatData!$A$2:$A$2000,1,),"")&lt;&gt;""</f>
        <v>0</v>
      </c>
      <c r="E1761" t="s">
        <v>5283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4611</v>
      </c>
      <c r="B1762" t="s">
        <v>4648</v>
      </c>
      <c r="D1762" t="b">
        <f>IFERROR(VLOOKUP(B1762,PatData!$A$2:$A$2000,1,),"")&lt;&gt;""</f>
        <v>0</v>
      </c>
      <c r="E1762" t="s">
        <v>5284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4612</v>
      </c>
      <c r="B1763" t="s">
        <v>4649</v>
      </c>
      <c r="D1763" t="b">
        <f>IFERROR(VLOOKUP(B1763,PatData!$A$2:$A$2000,1,),"")&lt;&gt;""</f>
        <v>0</v>
      </c>
      <c r="E1763" t="s">
        <v>194</v>
      </c>
      <c r="F1763" t="b">
        <v>0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4613</v>
      </c>
      <c r="B1764" t="s">
        <v>4650</v>
      </c>
      <c r="D1764" t="b">
        <f>IFERROR(VLOOKUP(B1764,PatData!$A$2:$A$2000,1,),"")&lt;&gt;""</f>
        <v>0</v>
      </c>
      <c r="E1764" t="s">
        <v>3407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4614</v>
      </c>
      <c r="B1765" t="s">
        <v>4651</v>
      </c>
      <c r="D1765" t="b">
        <f>IFERROR(VLOOKUP(B1765,PatData!$A$2:$A$2000,1,),"")&lt;&gt;""</f>
        <v>0</v>
      </c>
      <c r="E1765" t="s">
        <v>3408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4615</v>
      </c>
      <c r="B1766" t="s">
        <v>4652</v>
      </c>
      <c r="D1766" t="b">
        <f>IFERROR(VLOOKUP(B1766,PatData!$A$2:$A$2000,1,),"")&lt;&gt;""</f>
        <v>0</v>
      </c>
      <c r="E1766" t="s">
        <v>3409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4372</v>
      </c>
      <c r="B1767" t="s">
        <v>2028</v>
      </c>
      <c r="D1767" t="b">
        <f>IFERROR(VLOOKUP(B1767,PatData!$A$2:$A$2000,1,),"")&lt;&gt;""</f>
        <v>0</v>
      </c>
      <c r="E1767" t="s">
        <v>2033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5285</v>
      </c>
      <c r="B1768" t="s">
        <v>1986</v>
      </c>
      <c r="D1768" t="b">
        <f>IFERROR(VLOOKUP(B1768,PatData!$A$2:$A$2000,1,),"")&lt;&gt;""</f>
        <v>0</v>
      </c>
      <c r="E1768"/>
      <c r="F1768" t="b">
        <v>0</v>
      </c>
      <c r="G1768" t="b">
        <v>0</v>
      </c>
      <c r="H1768" t="b">
        <v>0</v>
      </c>
      <c r="I1768" t="b">
        <v>0</v>
      </c>
    </row>
    <row r="1769" spans="1:9" x14ac:dyDescent="0.2">
      <c r="A1769" t="s">
        <v>1418</v>
      </c>
      <c r="B1769" t="s">
        <v>2005</v>
      </c>
      <c r="D1769" t="b">
        <f>IFERROR(VLOOKUP(B1769,PatData!$A$2:$A$2000,1,),"")&lt;&gt;""</f>
        <v>0</v>
      </c>
      <c r="E1769" t="s">
        <v>3401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1419</v>
      </c>
      <c r="B1770" t="s">
        <v>2006</v>
      </c>
      <c r="D1770" t="b">
        <f>IFERROR(VLOOKUP(B1770,PatData!$A$2:$A$2000,1,),"")&lt;&gt;""</f>
        <v>0</v>
      </c>
      <c r="E1770" t="s">
        <v>3402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1420</v>
      </c>
      <c r="B1771" t="s">
        <v>2007</v>
      </c>
      <c r="D1771" t="b">
        <f>IFERROR(VLOOKUP(B1771,PatData!$A$2:$A$2000,1,),"")&lt;&gt;""</f>
        <v>0</v>
      </c>
      <c r="E1771" t="s">
        <v>3403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1108</v>
      </c>
      <c r="B1772" t="s">
        <v>1983</v>
      </c>
      <c r="D1772" t="b">
        <f>IFERROR(VLOOKUP(B1772,PatData!$A$2:$A$2000,1,),"")&lt;&gt;""</f>
        <v>0</v>
      </c>
      <c r="E1772" t="s">
        <v>3404</v>
      </c>
      <c r="F1772" t="b">
        <v>1</v>
      </c>
      <c r="G1772" t="b">
        <v>0</v>
      </c>
      <c r="H1772" t="b">
        <v>0</v>
      </c>
      <c r="I1772" t="b">
        <v>0</v>
      </c>
    </row>
    <row r="1773" spans="1:9" ht="140.25" x14ac:dyDescent="0.2">
      <c r="A1773" t="s">
        <v>1109</v>
      </c>
      <c r="B1773" t="s">
        <v>1984</v>
      </c>
      <c r="D1773" t="b">
        <f>IFERROR(VLOOKUP(B1773,PatData!$A$2:$A$2000,1,),"")&lt;&gt;""</f>
        <v>0</v>
      </c>
      <c r="E1773" s="19" t="s">
        <v>3405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5286</v>
      </c>
      <c r="B1774" t="s">
        <v>1985</v>
      </c>
      <c r="D1774" t="b">
        <f>IFERROR(VLOOKUP(B1774,PatData!$A$2:$A$2000,1,),"")&lt;&gt;""</f>
        <v>0</v>
      </c>
      <c r="E1774" t="s">
        <v>5287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5288</v>
      </c>
      <c r="B1775" t="s">
        <v>4927</v>
      </c>
      <c r="D1775" t="b">
        <f>IFERROR(VLOOKUP(B1775,PatData!$A$2:$A$2000,1,),"")&lt;&gt;""</f>
        <v>0</v>
      </c>
      <c r="E1775">
        <v>0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5289</v>
      </c>
      <c r="B1776" t="s">
        <v>4928</v>
      </c>
      <c r="D1776" t="b">
        <f>IFERROR(VLOOKUP(B1776,PatData!$A$2:$A$2000,1,),"")&lt;&gt;""</f>
        <v>0</v>
      </c>
      <c r="E1776">
        <v>8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3934</v>
      </c>
      <c r="B1777" t="s">
        <v>4929</v>
      </c>
      <c r="D1777" t="b">
        <f>IFERROR(VLOOKUP(B1777,PatData!$A$2:$A$2000,1,),"")&lt;&gt;""</f>
        <v>0</v>
      </c>
      <c r="E1777">
        <v>1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3902</v>
      </c>
      <c r="B1778" t="s">
        <v>4930</v>
      </c>
      <c r="D1778" t="b">
        <f>IFERROR(VLOOKUP(B1778,PatData!$A$2:$A$2000,1,),"")&lt;&gt;""</f>
        <v>0</v>
      </c>
      <c r="E1778">
        <v>1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5290</v>
      </c>
      <c r="B1779" t="s">
        <v>4931</v>
      </c>
      <c r="D1779" t="b">
        <f>IFERROR(VLOOKUP(B1779,PatData!$A$2:$A$2000,1,),"")&lt;&gt;""</f>
        <v>0</v>
      </c>
      <c r="E1779">
        <v>1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3909</v>
      </c>
      <c r="B1780" t="s">
        <v>4932</v>
      </c>
      <c r="D1780" t="b">
        <f>IFERROR(VLOOKUP(B1780,PatData!$A$2:$A$2000,1,),"")&lt;&gt;""</f>
        <v>0</v>
      </c>
      <c r="E1780">
        <v>1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3910</v>
      </c>
      <c r="B1781" t="s">
        <v>4933</v>
      </c>
      <c r="D1781" t="b">
        <f>IFERROR(VLOOKUP(B1781,PatData!$A$2:$A$2000,1,),"")&lt;&gt;""</f>
        <v>0</v>
      </c>
      <c r="E1781">
        <v>1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3911</v>
      </c>
      <c r="B1782" t="s">
        <v>4934</v>
      </c>
      <c r="D1782" t="b">
        <f>IFERROR(VLOOKUP(B1782,PatData!$A$2:$A$2000,1,),"")&lt;&gt;""</f>
        <v>0</v>
      </c>
      <c r="E1782">
        <v>1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3912</v>
      </c>
      <c r="B1783" t="s">
        <v>4935</v>
      </c>
      <c r="D1783" t="b">
        <f>IFERROR(VLOOKUP(B1783,PatData!$A$2:$A$2000,1,),"")&lt;&gt;""</f>
        <v>0</v>
      </c>
      <c r="E1783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3913</v>
      </c>
      <c r="B1784" t="s">
        <v>4936</v>
      </c>
      <c r="D1784" t="b">
        <f>IFERROR(VLOOKUP(B1784,PatData!$A$2:$A$2000,1,),"")&lt;&gt;""</f>
        <v>0</v>
      </c>
      <c r="E1784">
        <v>1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5291</v>
      </c>
      <c r="B1785" t="s">
        <v>4937</v>
      </c>
      <c r="D1785" t="b">
        <f>IFERROR(VLOOKUP(B1785,PatData!$A$2:$A$2000,1,),"")&lt;&gt;""</f>
        <v>0</v>
      </c>
      <c r="E1785">
        <v>2000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5292</v>
      </c>
      <c r="B1786" t="s">
        <v>4938</v>
      </c>
      <c r="D1786" t="b">
        <f>IFERROR(VLOOKUP(B1786,PatData!$A$2:$A$2000,1,),"")&lt;&gt;""</f>
        <v>0</v>
      </c>
      <c r="E1786">
        <v>0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5293</v>
      </c>
      <c r="B1787" t="s">
        <v>4939</v>
      </c>
      <c r="D1787" t="b">
        <f>IFERROR(VLOOKUP(B1787,PatData!$A$2:$A$2000,1,),"")&lt;&gt;""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5294</v>
      </c>
      <c r="B1788" t="s">
        <v>4940</v>
      </c>
      <c r="D1788" t="b">
        <f>IFERROR(VLOOKUP(B1788,PatData!$A$2:$A$2000,1,),"")&lt;&gt;""</f>
        <v>0</v>
      </c>
      <c r="E1788">
        <v>0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3915</v>
      </c>
      <c r="B1789" t="s">
        <v>4941</v>
      </c>
      <c r="D1789" t="b">
        <f>IFERROR(VLOOKUP(B1789,PatData!$A$2:$A$2000,1,),"")&lt;&gt;""</f>
        <v>0</v>
      </c>
      <c r="E1789">
        <v>0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3916</v>
      </c>
      <c r="B1790" t="s">
        <v>4942</v>
      </c>
      <c r="D1790" t="b">
        <f>IFERROR(VLOOKUP(B1790,PatData!$A$2:$A$2000,1,),"")&lt;&gt;""</f>
        <v>0</v>
      </c>
      <c r="E1790">
        <v>0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3917</v>
      </c>
      <c r="B1791" t="s">
        <v>4943</v>
      </c>
      <c r="D1791" t="b">
        <f>IFERROR(VLOOKUP(B1791,PatData!$A$2:$A$2000,1,),"")&lt;&gt;""</f>
        <v>0</v>
      </c>
      <c r="E1791">
        <v>0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3918</v>
      </c>
      <c r="B1792" t="s">
        <v>4944</v>
      </c>
      <c r="D1792" t="b">
        <f>IFERROR(VLOOKUP(B1792,PatData!$A$2:$A$2000,1,),"")&lt;&gt;""</f>
        <v>0</v>
      </c>
      <c r="E1792">
        <v>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3919</v>
      </c>
      <c r="B1793" t="s">
        <v>4945</v>
      </c>
      <c r="D1793" t="b">
        <f>IFERROR(VLOOKUP(B1793,PatData!$A$2:$A$2000,1,),"")&lt;&gt;""</f>
        <v>0</v>
      </c>
      <c r="E1793">
        <v>0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3914</v>
      </c>
      <c r="B1794" t="s">
        <v>4946</v>
      </c>
      <c r="D1794" t="b">
        <f>IFERROR(VLOOKUP(B1794,PatData!$A$2:$A$2000,1,),"")&lt;&gt;""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5295</v>
      </c>
      <c r="B1795" t="s">
        <v>4947</v>
      </c>
      <c r="D1795" t="b">
        <f>IFERROR(VLOOKUP(B1795,PatData!$A$2:$A$2000,1,),"")&lt;&gt;""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3906</v>
      </c>
      <c r="B1796" t="s">
        <v>4948</v>
      </c>
      <c r="D1796" t="b">
        <f>IFERROR(VLOOKUP(B1796,PatData!$A$2:$A$2000,1,),"")&lt;&gt;""</f>
        <v>0</v>
      </c>
      <c r="E1796">
        <v>50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5296</v>
      </c>
      <c r="B1797" t="s">
        <v>4949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5297</v>
      </c>
      <c r="B1798" t="s">
        <v>4950</v>
      </c>
      <c r="D1798" t="b">
        <f>IFERROR(VLOOKUP(B1798,PatData!$A$2:$A$2000,1,),"")&lt;&gt;""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5298</v>
      </c>
      <c r="B1799" t="s">
        <v>4951</v>
      </c>
      <c r="D1799" t="b">
        <f>IFERROR(VLOOKUP(B1799,PatData!$A$2:$A$2000,1,),"")&lt;&gt;""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3921</v>
      </c>
      <c r="B1800" t="s">
        <v>4952</v>
      </c>
      <c r="D1800" t="b">
        <f>IFERROR(VLOOKUP(B1800,PatData!$A$2:$A$2000,1,),"")&lt;&gt;""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3922</v>
      </c>
      <c r="B1801" t="s">
        <v>4953</v>
      </c>
      <c r="D1801" t="b">
        <f>IFERROR(VLOOKUP(B1801,PatData!$A$2:$A$2000,1,),"")&lt;&gt;""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3923</v>
      </c>
      <c r="B1802" t="s">
        <v>4954</v>
      </c>
      <c r="D1802" t="b">
        <f>IFERROR(VLOOKUP(B1802,PatData!$A$2:$A$2000,1,),"")&lt;&gt;""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3924</v>
      </c>
      <c r="B1803" t="s">
        <v>4955</v>
      </c>
      <c r="D1803" t="b">
        <f>IFERROR(VLOOKUP(B1803,PatData!$A$2:$A$2000,1,),"")&lt;&gt;""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3925</v>
      </c>
      <c r="B1804" t="s">
        <v>4956</v>
      </c>
      <c r="D1804" t="b">
        <f>IFERROR(VLOOKUP(B1804,PatData!$A$2:$A$2000,1,),"")&lt;&gt;""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5299</v>
      </c>
      <c r="B1805" t="s">
        <v>4957</v>
      </c>
      <c r="D1805" t="b">
        <f>IFERROR(VLOOKUP(B1805,PatData!$A$2:$A$2000,1,),"")&lt;&gt;""</f>
        <v>0</v>
      </c>
      <c r="E1805">
        <v>1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5300</v>
      </c>
      <c r="B1806" t="s">
        <v>4958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5301</v>
      </c>
      <c r="B1807" t="s">
        <v>4959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5302</v>
      </c>
      <c r="B1808" t="s">
        <v>4960</v>
      </c>
      <c r="D1808" t="b">
        <f>IFERROR(VLOOKUP(B1808,PatData!$A$2:$A$2000,1,),"")&lt;&gt;""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3926</v>
      </c>
      <c r="B1809" t="s">
        <v>4961</v>
      </c>
      <c r="D1809" t="b">
        <f>IFERROR(VLOOKUP(B1809,PatData!$A$2:$A$2000,1,),"")&lt;&gt;""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3927</v>
      </c>
      <c r="B1810" t="s">
        <v>4962</v>
      </c>
      <c r="D1810" t="b">
        <f>IFERROR(VLOOKUP(B1810,PatData!$A$2:$A$2000,1,),"")&lt;&gt;""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3928</v>
      </c>
      <c r="B1811" t="s">
        <v>4963</v>
      </c>
      <c r="D1811" t="b">
        <f>IFERROR(VLOOKUP(B1811,PatData!$A$2:$A$2000,1,),"")&lt;&gt;""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3929</v>
      </c>
      <c r="B1812" t="s">
        <v>4964</v>
      </c>
      <c r="D1812" t="b">
        <f>IFERROR(VLOOKUP(B1812,PatData!$A$2:$A$2000,1,),"")&lt;&gt;""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3930</v>
      </c>
      <c r="B1813" t="s">
        <v>4965</v>
      </c>
      <c r="D1813" t="b">
        <f>IFERROR(VLOOKUP(B1813,PatData!$A$2:$A$2000,1,),"")&lt;&gt;""</f>
        <v>0</v>
      </c>
      <c r="E1813">
        <v>1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3931</v>
      </c>
      <c r="B1814" t="s">
        <v>4966</v>
      </c>
      <c r="D1814" t="b">
        <f>IFERROR(VLOOKUP(B1814,PatData!$A$2:$A$2000,1,),"")&lt;&gt;""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3932</v>
      </c>
      <c r="B1815" t="s">
        <v>4967</v>
      </c>
      <c r="D1815" t="b">
        <f>IFERROR(VLOOKUP(B1815,PatData!$A$2:$A$2000,1,),"")&lt;&gt;""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3933</v>
      </c>
      <c r="B1816" t="s">
        <v>4968</v>
      </c>
      <c r="D1816" t="b">
        <f>IFERROR(VLOOKUP(B1816,PatData!$A$2:$A$2000,1,),"")&lt;&gt;""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5303</v>
      </c>
      <c r="B1817" t="s">
        <v>4969</v>
      </c>
      <c r="D1817" t="b">
        <f>IFERROR(VLOOKUP(B1817,PatData!$A$2:$A$2000,1,),"")&lt;&gt;""</f>
        <v>0</v>
      </c>
      <c r="E1817">
        <v>10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5304</v>
      </c>
      <c r="B1818" t="s">
        <v>4970</v>
      </c>
      <c r="D1818" t="b">
        <f>IFERROR(VLOOKUP(B1818,PatData!$A$2:$A$2000,1,),"")&lt;&gt;""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5305</v>
      </c>
      <c r="B1819" t="s">
        <v>4971</v>
      </c>
      <c r="D1819" t="b">
        <f>IFERROR(VLOOKUP(B1819,PatData!$A$2:$A$2000,1,),"")&lt;&gt;""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5306</v>
      </c>
      <c r="B1820" t="s">
        <v>4972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3940</v>
      </c>
      <c r="B1821" t="s">
        <v>4973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3941</v>
      </c>
      <c r="B1822" t="s">
        <v>4974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3942</v>
      </c>
      <c r="B1823" t="s">
        <v>4975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3943</v>
      </c>
      <c r="B1824" t="s">
        <v>4976</v>
      </c>
      <c r="D1824" t="b">
        <f>IFERROR(VLOOKUP(B1824,PatData!$A$2:$A$2000,1,),"")&lt;&gt;""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3944</v>
      </c>
      <c r="B1825" t="s">
        <v>4977</v>
      </c>
      <c r="D1825" t="b">
        <f>IFERROR(VLOOKUP(B1825,PatData!$A$2:$A$2000,1,),"")&lt;&gt;""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3945</v>
      </c>
      <c r="B1826" t="s">
        <v>4978</v>
      </c>
      <c r="D1826" t="b">
        <f>IFERROR(VLOOKUP(B1826,PatData!$A$2:$A$2000,1,),"")&lt;&gt;""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3946</v>
      </c>
      <c r="B1827" t="s">
        <v>4979</v>
      </c>
      <c r="D1827" t="b">
        <f>IFERROR(VLOOKUP(B1827,PatData!$A$2:$A$2000,1,),"")&lt;&gt;""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3947</v>
      </c>
      <c r="B1828" t="s">
        <v>4980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5307</v>
      </c>
      <c r="B1829" t="s">
        <v>4981</v>
      </c>
      <c r="D1829" t="b">
        <f>IFERROR(VLOOKUP(B1829,PatData!$A$2:$A$2000,1,),"")&lt;&gt;""</f>
        <v>0</v>
      </c>
      <c r="E1829">
        <v>2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5308</v>
      </c>
      <c r="B1830" t="s">
        <v>4982</v>
      </c>
      <c r="D1830" t="b">
        <f>IFERROR(VLOOKUP(B1830,PatData!$A$2:$A$2000,1,),"")&lt;&gt;""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5309</v>
      </c>
      <c r="B1831" t="s">
        <v>4983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5310</v>
      </c>
      <c r="B1832" t="s">
        <v>4984</v>
      </c>
      <c r="D1832" t="b">
        <f>IFERROR(VLOOKUP(B1832,PatData!$A$2:$A$2000,1,),"")&lt;&gt;""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5311</v>
      </c>
      <c r="B1833" t="s">
        <v>4985</v>
      </c>
      <c r="D1833" t="b">
        <f>IFERROR(VLOOKUP(B1833,PatData!$A$2:$A$2000,1,),"")&lt;&gt;""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5312</v>
      </c>
      <c r="B1834" t="s">
        <v>4986</v>
      </c>
      <c r="D1834" t="b">
        <f>IFERROR(VLOOKUP(B1834,PatData!$A$2:$A$2000,1,),"")&lt;&gt;""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5313</v>
      </c>
      <c r="B1835" t="s">
        <v>4987</v>
      </c>
      <c r="D1835" t="b">
        <f>IFERROR(VLOOKUP(B1835,PatData!$A$2:$A$2000,1,),"")&lt;&gt;""</f>
        <v>0</v>
      </c>
      <c r="E1835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5314</v>
      </c>
      <c r="B1836" t="s">
        <v>4988</v>
      </c>
      <c r="D1836" t="b">
        <f>IFERROR(VLOOKUP(B1836,PatData!$A$2:$A$2000,1,),"")&lt;&gt;""</f>
        <v>0</v>
      </c>
      <c r="E1836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5315</v>
      </c>
      <c r="B1837" t="s">
        <v>4989</v>
      </c>
      <c r="D1837" t="b">
        <f>IFERROR(VLOOKUP(B1837,PatData!$A$2:$A$2000,1,),"")&lt;&gt;""</f>
        <v>0</v>
      </c>
      <c r="E1837">
        <v>0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5316</v>
      </c>
      <c r="B1838" t="s">
        <v>4990</v>
      </c>
      <c r="D1838" t="b">
        <f>IFERROR(VLOOKUP(B1838,PatData!$A$2:$A$2000,1,),"")&lt;&gt;""</f>
        <v>0</v>
      </c>
      <c r="E1838">
        <v>0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5317</v>
      </c>
      <c r="B1839" t="s">
        <v>4991</v>
      </c>
      <c r="D1839" t="b">
        <f>IFERROR(VLOOKUP(B1839,PatData!$A$2:$A$2000,1,),"")&lt;&gt;""</f>
        <v>0</v>
      </c>
      <c r="E1839" t="b">
        <v>0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5318</v>
      </c>
      <c r="B1840" t="s">
        <v>4992</v>
      </c>
      <c r="D1840" t="b">
        <f>IFERROR(VLOOKUP(B1840,PatData!$A$2:$A$2000,1,),"")&lt;&gt;""</f>
        <v>0</v>
      </c>
      <c r="E1840" t="b">
        <v>0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5319</v>
      </c>
      <c r="B1841" t="s">
        <v>4993</v>
      </c>
      <c r="D1841" t="b">
        <f>IFERROR(VLOOKUP(B1841,PatData!$A$2:$A$2000,1,),"")&lt;&gt;""</f>
        <v>0</v>
      </c>
      <c r="E1841" t="b">
        <v>0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5320</v>
      </c>
      <c r="B1842" t="s">
        <v>4994</v>
      </c>
      <c r="D1842" t="b">
        <f>IFERROR(VLOOKUP(B1842,PatData!$A$2:$A$2000,1,),"")&lt;&gt;""</f>
        <v>0</v>
      </c>
      <c r="E1842" t="b">
        <v>0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5321</v>
      </c>
      <c r="B1843" t="s">
        <v>4995</v>
      </c>
      <c r="D1843" t="b">
        <f>IFERROR(VLOOKUP(B1843,PatData!$A$2:$A$2000,1,),"")&lt;&gt;""</f>
        <v>0</v>
      </c>
      <c r="E1843">
        <v>4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5322</v>
      </c>
      <c r="B1844" t="s">
        <v>4996</v>
      </c>
      <c r="D1844" t="b">
        <f>IFERROR(VLOOKUP(B1844,PatData!$A$2:$A$2000,1,),"")&lt;&gt;""</f>
        <v>0</v>
      </c>
      <c r="E1844">
        <v>2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5323</v>
      </c>
      <c r="B1845" t="s">
        <v>4997</v>
      </c>
      <c r="D1845" t="b">
        <f>IFERROR(VLOOKUP(B1845,PatData!$A$2:$A$2000,1,),"")&lt;&gt;""</f>
        <v>0</v>
      </c>
      <c r="E1845">
        <v>10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5324</v>
      </c>
      <c r="B1846" t="s">
        <v>4998</v>
      </c>
      <c r="D1846" t="b">
        <f>IFERROR(VLOOKUP(B1846,PatData!$A$2:$A$2000,1,),"")&lt;&gt;""</f>
        <v>0</v>
      </c>
      <c r="E1846">
        <v>20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5325</v>
      </c>
      <c r="B1847" t="s">
        <v>4999</v>
      </c>
      <c r="D1847" t="b">
        <f>IFERROR(VLOOKUP(B1847,PatData!$A$2:$A$2000,1,),"")&lt;&gt;""</f>
        <v>0</v>
      </c>
      <c r="E1847">
        <v>1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5326</v>
      </c>
      <c r="B1848" t="s">
        <v>5000</v>
      </c>
      <c r="D1848" t="b">
        <f>IFERROR(VLOOKUP(B1848,PatData!$A$2:$A$2000,1,),"")&lt;&gt;""</f>
        <v>0</v>
      </c>
      <c r="E1848">
        <v>1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5327</v>
      </c>
      <c r="B1849" t="s">
        <v>5001</v>
      </c>
      <c r="D1849" t="b">
        <f>IFERROR(VLOOKUP(B1849,PatData!$A$2:$A$2000,1,),"")&lt;&gt;""</f>
        <v>0</v>
      </c>
      <c r="E1849">
        <v>1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5328</v>
      </c>
      <c r="B1850" t="s">
        <v>5002</v>
      </c>
      <c r="D1850" t="b">
        <f>IFERROR(VLOOKUP(B1850,PatData!$A$2:$A$2000,1,),"")&lt;&gt;""</f>
        <v>0</v>
      </c>
      <c r="E1850">
        <v>1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5329</v>
      </c>
      <c r="B1851" t="s">
        <v>5003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5330</v>
      </c>
      <c r="B1852" t="s">
        <v>5004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5331</v>
      </c>
      <c r="B1853" t="s">
        <v>5005</v>
      </c>
      <c r="D1853" t="b">
        <f>IFERROR(VLOOKUP(B1853,PatData!$A$2:$A$2000,1,),"")&lt;&gt;""</f>
        <v>0</v>
      </c>
      <c r="E1853">
        <v>1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5332</v>
      </c>
      <c r="B1854" t="s">
        <v>5006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5333</v>
      </c>
      <c r="B1855" t="s">
        <v>5007</v>
      </c>
      <c r="D1855" t="b">
        <f>IFERROR(VLOOKUP(B1855,PatData!$A$2:$A$2000,1,),"")&lt;&gt;""</f>
        <v>0</v>
      </c>
      <c r="E1855">
        <v>1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5334</v>
      </c>
      <c r="B1856" t="s">
        <v>5008</v>
      </c>
      <c r="D1856" t="b">
        <f>IFERROR(VLOOKUP(B1856,PatData!$A$2:$A$2000,1,),"")&lt;&gt;""</f>
        <v>0</v>
      </c>
      <c r="E1856">
        <v>1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5335</v>
      </c>
      <c r="B1857" t="s">
        <v>5009</v>
      </c>
      <c r="D1857" t="b">
        <f>IFERROR(VLOOKUP(B1857,PatData!$A$2:$A$2000,1,),"")&lt;&gt;""</f>
        <v>0</v>
      </c>
      <c r="E1857">
        <v>1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5336</v>
      </c>
      <c r="B1858" t="s">
        <v>5010</v>
      </c>
      <c r="D1858" t="b">
        <f>IFERROR(VLOOKUP(B1858,PatData!$A$2:$A$2000,1,),"")&lt;&gt;""</f>
        <v>0</v>
      </c>
      <c r="E1858">
        <v>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5337</v>
      </c>
      <c r="B1859" t="s">
        <v>5011</v>
      </c>
      <c r="D1859" t="b">
        <f>IFERROR(VLOOKUP(B1859,PatData!$A$2:$A$2000,1,),"")&lt;&gt;""</f>
        <v>0</v>
      </c>
      <c r="E1859">
        <v>1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3949</v>
      </c>
      <c r="B1860" t="s">
        <v>5012</v>
      </c>
      <c r="D1860" t="b">
        <f>IFERROR(VLOOKUP(B1860,PatData!$A$2:$A$2000,1,),"")&lt;&gt;""</f>
        <v>0</v>
      </c>
      <c r="E1860">
        <v>1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3950</v>
      </c>
      <c r="B1861" t="s">
        <v>5013</v>
      </c>
      <c r="D1861" t="b">
        <f>IFERROR(VLOOKUP(B1861,PatData!$A$2:$A$2000,1,),"")&lt;&gt;""</f>
        <v>0</v>
      </c>
      <c r="E1861">
        <v>1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3951</v>
      </c>
      <c r="B1862" t="s">
        <v>5014</v>
      </c>
      <c r="D1862" t="b">
        <f>IFERROR(VLOOKUP(B1862,PatData!$A$2:$A$2000,1,),"")&lt;&gt;""</f>
        <v>0</v>
      </c>
      <c r="E1862">
        <v>1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5338</v>
      </c>
      <c r="B1863" t="s">
        <v>5015</v>
      </c>
      <c r="D1863" t="b">
        <f>IFERROR(VLOOKUP(B1863,PatData!$A$2:$A$2000,1,),"")&lt;&gt;""</f>
        <v>0</v>
      </c>
      <c r="E1863">
        <v>1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3904</v>
      </c>
      <c r="B1864" t="s">
        <v>5016</v>
      </c>
      <c r="D1864" t="b">
        <f>IFERROR(VLOOKUP(B1864,PatData!$A$2:$A$2000,1,),"")&lt;&gt;""</f>
        <v>0</v>
      </c>
      <c r="E1864">
        <v>3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3907</v>
      </c>
      <c r="B1865" t="s">
        <v>5017</v>
      </c>
      <c r="D1865" t="b">
        <f>IFERROR(VLOOKUP(B1865,PatData!$A$2:$A$2000,1,),"")&lt;&gt;""</f>
        <v>0</v>
      </c>
      <c r="E1865">
        <v>5000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5339</v>
      </c>
      <c r="B1866" t="s">
        <v>5018</v>
      </c>
      <c r="D1866" t="b">
        <f>IFERROR(VLOOKUP(B1866,PatData!$A$2:$A$2000,1,),"")&lt;&gt;""</f>
        <v>0</v>
      </c>
      <c r="E1866">
        <v>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5340</v>
      </c>
      <c r="B1867" t="s">
        <v>5019</v>
      </c>
      <c r="D1867" t="b">
        <f>IFERROR(VLOOKUP(B1867,PatData!$A$2:$A$2000,1,),"")&lt;&gt;""</f>
        <v>0</v>
      </c>
      <c r="E1867">
        <v>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3939</v>
      </c>
      <c r="B1868" t="s">
        <v>5020</v>
      </c>
      <c r="D1868" t="b">
        <f>IFERROR(VLOOKUP(B1868,PatData!$A$2:$A$2000,1,),"")&lt;&gt;""</f>
        <v>0</v>
      </c>
      <c r="E1868">
        <v>2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3905</v>
      </c>
      <c r="B1869" t="s">
        <v>5021</v>
      </c>
      <c r="D1869" t="b">
        <f>IFERROR(VLOOKUP(B1869,PatData!$A$2:$A$2000,1,),"")&lt;&gt;""</f>
        <v>0</v>
      </c>
      <c r="E1869">
        <v>5015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5341</v>
      </c>
      <c r="B1870" t="s">
        <v>5022</v>
      </c>
      <c r="D1870" t="b">
        <f>IFERROR(VLOOKUP(B1870,PatData!$A$2:$A$2000,1,),"")&lt;&gt;""</f>
        <v>0</v>
      </c>
      <c r="E1870">
        <v>5000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3948</v>
      </c>
      <c r="B1871" t="s">
        <v>5023</v>
      </c>
      <c r="D1871" t="b">
        <f>IFERROR(VLOOKUP(B1871,PatData!$A$2:$A$2000,1,),"")&lt;&gt;""</f>
        <v>0</v>
      </c>
      <c r="E1871">
        <v>1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5342</v>
      </c>
      <c r="B1872" t="s">
        <v>5024</v>
      </c>
      <c r="D1872" t="b">
        <f>IFERROR(VLOOKUP(B1872,PatData!$A$2:$A$2000,1,),"")&lt;&gt;""</f>
        <v>0</v>
      </c>
      <c r="E1872">
        <v>5000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3903</v>
      </c>
      <c r="B1873" t="s">
        <v>5025</v>
      </c>
      <c r="D1873" t="b">
        <f>IFERROR(VLOOKUP(B1873,PatData!$A$2:$A$2000,1,),"")&lt;&gt;""</f>
        <v>0</v>
      </c>
      <c r="E1873">
        <v>5000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5343</v>
      </c>
      <c r="B1874" t="s">
        <v>5026</v>
      </c>
      <c r="D1874" t="b">
        <f>IFERROR(VLOOKUP(B1874,PatData!$A$2:$A$2000,1,),"")&lt;&gt;""</f>
        <v>0</v>
      </c>
      <c r="E1874">
        <v>5000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3952</v>
      </c>
      <c r="B1875" t="s">
        <v>5027</v>
      </c>
      <c r="D1875" t="b">
        <f>IFERROR(VLOOKUP(B1875,PatData!$A$2:$A$2000,1,),"")&lt;&gt;""</f>
        <v>0</v>
      </c>
      <c r="E1875">
        <v>5000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5344</v>
      </c>
      <c r="B1876" t="s">
        <v>5028</v>
      </c>
      <c r="D1876" t="b">
        <f>IFERROR(VLOOKUP(B1876,PatData!$A$2:$A$2000,1,),"")&lt;&gt;""</f>
        <v>0</v>
      </c>
      <c r="E1876" t="b">
        <v>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3908</v>
      </c>
      <c r="B1877" t="s">
        <v>5029</v>
      </c>
      <c r="D1877" t="b">
        <f>IFERROR(VLOOKUP(B1877,PatData!$A$2:$A$2000,1,),"")&lt;&gt;""</f>
        <v>0</v>
      </c>
      <c r="E1877">
        <v>5000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3953</v>
      </c>
      <c r="B1878" t="s">
        <v>5030</v>
      </c>
      <c r="D1878" t="b">
        <f>IFERROR(VLOOKUP(B1878,PatData!$A$2:$A$2000,1,),"")&lt;&gt;""</f>
        <v>0</v>
      </c>
      <c r="E1878">
        <v>5000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3920</v>
      </c>
      <c r="B1879" t="s">
        <v>5031</v>
      </c>
      <c r="D1879" t="b">
        <f>IFERROR(VLOOKUP(B1879,PatData!$A$2:$A$2000,1,),"")&lt;&gt;""</f>
        <v>0</v>
      </c>
      <c r="E1879">
        <v>5000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5345</v>
      </c>
      <c r="B1880" t="s">
        <v>1996</v>
      </c>
      <c r="D1880" t="b">
        <f>IFERROR(VLOOKUP(B1880,PatData!$A$2:$A$2000,1,),"")&lt;&gt;""</f>
        <v>0</v>
      </c>
      <c r="E1880" t="s">
        <v>5346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2">
      <c r="A1881" t="s">
        <v>5347</v>
      </c>
      <c r="B1881" t="s">
        <v>1997</v>
      </c>
      <c r="D1881" t="b">
        <f>IFERROR(VLOOKUP(B1881,PatData!$A$2:$A$2000,1,),"")&lt;&gt;""</f>
        <v>0</v>
      </c>
      <c r="E1881" t="s">
        <v>5348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2">
      <c r="A1882" t="s">
        <v>5349</v>
      </c>
      <c r="B1882" t="s">
        <v>1998</v>
      </c>
      <c r="D1882" t="b">
        <f>IFERROR(VLOOKUP(B1882,PatData!$A$2:$A$2000,1,),"")&lt;&gt;""</f>
        <v>0</v>
      </c>
      <c r="E1882" t="s">
        <v>5350</v>
      </c>
      <c r="F1882" t="b">
        <v>1</v>
      </c>
      <c r="G1882" t="b">
        <v>0</v>
      </c>
      <c r="H1882" t="b">
        <v>0</v>
      </c>
      <c r="I1882" t="b">
        <v>0</v>
      </c>
    </row>
    <row r="1883" spans="1:9" x14ac:dyDescent="0.2">
      <c r="A1883" t="s">
        <v>5351</v>
      </c>
      <c r="B1883" t="s">
        <v>1999</v>
      </c>
      <c r="D1883" t="b">
        <f>IFERROR(VLOOKUP(B1883,PatData!$A$2:$A$2000,1,),"")&lt;&gt;""</f>
        <v>0</v>
      </c>
      <c r="E1883" t="s">
        <v>5352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2">
      <c r="A1884" t="s">
        <v>3935</v>
      </c>
      <c r="B1884" t="s">
        <v>2000</v>
      </c>
      <c r="D1884" t="b">
        <f>IFERROR(VLOOKUP(B1884,PatData!$A$2:$A$2000,1,),"")&lt;&gt;""</f>
        <v>0</v>
      </c>
      <c r="E1884" t="s">
        <v>5353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3936</v>
      </c>
      <c r="B1885" t="s">
        <v>2001</v>
      </c>
      <c r="D1885" t="b">
        <f>IFERROR(VLOOKUP(B1885,PatData!$A$2:$A$2000,1,),"")&lt;&gt;""</f>
        <v>0</v>
      </c>
      <c r="E1885" t="s">
        <v>5354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3937</v>
      </c>
      <c r="B1886" t="s">
        <v>2002</v>
      </c>
      <c r="D1886" t="b">
        <f>IFERROR(VLOOKUP(B1886,PatData!$A$2:$A$2000,1,),"")&lt;&gt;""</f>
        <v>0</v>
      </c>
      <c r="E1886" t="s">
        <v>5355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3938</v>
      </c>
      <c r="B1887" t="s">
        <v>2003</v>
      </c>
      <c r="D1887" t="b">
        <f>IFERROR(VLOOKUP(B1887,PatData!$A$2:$A$2000,1,),"")&lt;&gt;""</f>
        <v>0</v>
      </c>
      <c r="E1887" t="s">
        <v>5356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5357</v>
      </c>
      <c r="B1888" t="s">
        <v>2004</v>
      </c>
      <c r="D1888" t="b">
        <f>IFERROR(VLOOKUP(B1888,PatData!$A$2:$A$2000,1,),"")&lt;&gt;""</f>
        <v>0</v>
      </c>
      <c r="E1888" t="s">
        <v>5358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5359</v>
      </c>
      <c r="B1889" t="s">
        <v>4373</v>
      </c>
      <c r="D1889" t="b">
        <f>IFERROR(VLOOKUP(B1889,PatData!$A$2:$A$2000,1,),"")&lt;&gt;""</f>
        <v>0</v>
      </c>
      <c r="E1889" t="s">
        <v>5360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4069</v>
      </c>
      <c r="B1890" t="s">
        <v>2008</v>
      </c>
      <c r="D1890" t="b">
        <f>IFERROR(VLOOKUP(B1890,PatData!$A$2:$A$2000,1,),"")&lt;&gt;""</f>
        <v>0</v>
      </c>
      <c r="E1890" t="s">
        <v>3410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4070</v>
      </c>
      <c r="B1891" t="s">
        <v>2009</v>
      </c>
      <c r="D1891" t="b">
        <f>IFERROR(VLOOKUP(B1891,PatData!$A$2:$A$2000,1,),"")&lt;&gt;""</f>
        <v>0</v>
      </c>
      <c r="E1891" t="s">
        <v>3411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4071</v>
      </c>
      <c r="B1892" t="s">
        <v>2010</v>
      </c>
      <c r="D1892" t="b">
        <f>IFERROR(VLOOKUP(B1892,PatData!$A$2:$A$2000,1,),"")&lt;&gt;""</f>
        <v>0</v>
      </c>
      <c r="E1892" t="s">
        <v>3412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4072</v>
      </c>
      <c r="B1893" t="s">
        <v>2011</v>
      </c>
      <c r="D1893" t="b">
        <f>IFERROR(VLOOKUP(B1893,PatData!$A$2:$A$2000,1,),"")&lt;&gt;""</f>
        <v>0</v>
      </c>
      <c r="E1893" t="s">
        <v>3413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4073</v>
      </c>
      <c r="B1894" t="s">
        <v>1995</v>
      </c>
      <c r="D1894" t="b">
        <f>IFERROR(VLOOKUP(B1894,PatData!$A$2:$A$2000,1,),"")&lt;&gt;""</f>
        <v>0</v>
      </c>
      <c r="E1894" t="s">
        <v>2034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1110</v>
      </c>
      <c r="B1895" t="s">
        <v>1095</v>
      </c>
      <c r="D1895" t="b">
        <f>IFERROR(VLOOKUP(B1895,PatData!$A$2:$A$2000,1,),"")&lt;&gt;""</f>
        <v>0</v>
      </c>
      <c r="E1895" t="s">
        <v>2034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5032</v>
      </c>
      <c r="B1896" t="s">
        <v>1096</v>
      </c>
      <c r="D1896" t="b">
        <f>IFERROR(VLOOKUP(B1896,PatData!$A$2:$A$2000,1,),"")&lt;&gt;""</f>
        <v>0</v>
      </c>
      <c r="E1896" t="s">
        <v>2034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1731</v>
      </c>
      <c r="B1897" t="s">
        <v>1097</v>
      </c>
      <c r="D1897" t="b">
        <f>IFERROR(VLOOKUP(B1897,PatData!$A$2:$A$2000,1,),"")&lt;&gt;""</f>
        <v>0</v>
      </c>
      <c r="E1897" t="s">
        <v>2034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1734</v>
      </c>
      <c r="B1898" t="s">
        <v>1098</v>
      </c>
      <c r="D1898" t="b">
        <f>IFERROR(VLOOKUP(B1898,PatData!$A$2:$A$2000,1,),"")&lt;&gt;""</f>
        <v>0</v>
      </c>
      <c r="E1898" t="s">
        <v>2034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1735</v>
      </c>
      <c r="B1899" t="s">
        <v>1099</v>
      </c>
      <c r="D1899" t="b">
        <f>IFERROR(VLOOKUP(B1899,PatData!$A$2:$A$2000,1,),"")&lt;&gt;""</f>
        <v>0</v>
      </c>
      <c r="E1899" t="s">
        <v>2034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1736</v>
      </c>
      <c r="B1900" t="s">
        <v>1100</v>
      </c>
      <c r="D1900" t="b">
        <f>IFERROR(VLOOKUP(B1900,PatData!$A$2:$A$2000,1,),"")&lt;&gt;""</f>
        <v>0</v>
      </c>
      <c r="E1900" t="s">
        <v>2034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1737</v>
      </c>
      <c r="B1901" t="s">
        <v>1101</v>
      </c>
      <c r="D1901" t="b">
        <f>IFERROR(VLOOKUP(B1901,PatData!$A$2:$A$2000,1,),"")&lt;&gt;""</f>
        <v>0</v>
      </c>
      <c r="E1901" t="s">
        <v>2034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1738</v>
      </c>
      <c r="B1902" t="s">
        <v>1102</v>
      </c>
      <c r="D1902" t="b">
        <f>IFERROR(VLOOKUP(B1902,PatData!$A$2:$A$2000,1,),"")&lt;&gt;""</f>
        <v>0</v>
      </c>
      <c r="E1902" t="s">
        <v>2034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1739</v>
      </c>
      <c r="B1903" t="s">
        <v>1103</v>
      </c>
      <c r="D1903" t="b">
        <f>IFERROR(VLOOKUP(B1903,PatData!$A$2:$A$2000,1,),"")&lt;&gt;""</f>
        <v>0</v>
      </c>
      <c r="E1903" t="s">
        <v>2034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1740</v>
      </c>
      <c r="B1904" t="s">
        <v>1104</v>
      </c>
      <c r="D1904" t="b">
        <f>IFERROR(VLOOKUP(B1904,PatData!$A$2:$A$2000,1,),"")&lt;&gt;""</f>
        <v>0</v>
      </c>
      <c r="E1904" t="s">
        <v>2034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1741</v>
      </c>
      <c r="B1905" t="s">
        <v>1105</v>
      </c>
      <c r="D1905" t="b">
        <f>IFERROR(VLOOKUP(B1905,PatData!$A$2:$A$2000,1,),"")&lt;&gt;""</f>
        <v>0</v>
      </c>
      <c r="E1905" t="s">
        <v>2034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1742</v>
      </c>
      <c r="B1906" t="s">
        <v>1106</v>
      </c>
      <c r="D1906" t="b">
        <f>IFERROR(VLOOKUP(B1906,PatData!$A$2:$A$2000,1,),"")&lt;&gt;""</f>
        <v>0</v>
      </c>
      <c r="E1906" t="s">
        <v>2034</v>
      </c>
      <c r="F1906" t="b">
        <v>1</v>
      </c>
      <c r="G1906" t="b">
        <v>0</v>
      </c>
      <c r="H1906" t="b">
        <v>0</v>
      </c>
      <c r="I1906" t="b">
        <v>0</v>
      </c>
    </row>
    <row r="1907" spans="1:9" x14ac:dyDescent="0.2">
      <c r="E1907"/>
    </row>
    <row r="1908" spans="1:9" x14ac:dyDescent="0.2">
      <c r="E1908"/>
    </row>
    <row r="1909" spans="1:9" x14ac:dyDescent="0.2">
      <c r="E1909"/>
    </row>
    <row r="1910" spans="1:9" x14ac:dyDescent="0.2">
      <c r="E1910"/>
    </row>
    <row r="1911" spans="1:9" x14ac:dyDescent="0.2">
      <c r="E1911"/>
    </row>
    <row r="1912" spans="1:9" x14ac:dyDescent="0.2">
      <c r="E1912"/>
    </row>
    <row r="1913" spans="1:9" x14ac:dyDescent="0.2">
      <c r="E1913"/>
    </row>
    <row r="1914" spans="1:9" x14ac:dyDescent="0.2">
      <c r="E1914"/>
    </row>
    <row r="1915" spans="1:9" x14ac:dyDescent="0.2">
      <c r="E1915"/>
    </row>
    <row r="1916" spans="1:9" x14ac:dyDescent="0.2">
      <c r="E1916"/>
    </row>
    <row r="1917" spans="1:9" x14ac:dyDescent="0.2">
      <c r="E1917"/>
    </row>
    <row r="1918" spans="1:9" x14ac:dyDescent="0.2">
      <c r="E1918"/>
    </row>
    <row r="1919" spans="1:9" x14ac:dyDescent="0.2">
      <c r="E1919"/>
    </row>
    <row r="1920" spans="1:9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5"/>
  <sheetViews>
    <sheetView workbookViewId="0">
      <selection activeCell="A3" sqref="A3:XFD3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82</v>
      </c>
      <c r="B1" t="s">
        <v>237</v>
      </c>
    </row>
    <row r="2" spans="1:2" x14ac:dyDescent="0.2">
      <c r="A2" t="s">
        <v>107</v>
      </c>
    </row>
    <row r="3" spans="1:2" x14ac:dyDescent="0.2">
      <c r="A3" t="s">
        <v>64</v>
      </c>
      <c r="B3">
        <v>0</v>
      </c>
    </row>
    <row r="4" spans="1:2" x14ac:dyDescent="0.2">
      <c r="A4" t="s">
        <v>115</v>
      </c>
      <c r="B4" s="19"/>
    </row>
    <row r="5" spans="1:2" x14ac:dyDescent="0.2">
      <c r="A5" t="s">
        <v>147</v>
      </c>
      <c r="B5" t="s">
        <v>4318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2" sqref="J12"/>
    </sheetView>
  </sheetViews>
  <sheetFormatPr defaultRowHeight="12.75" x14ac:dyDescent="0.2"/>
  <cols>
    <col min="1" max="1" width="21" style="334" customWidth="1"/>
    <col min="2" max="2" width="11.7109375" style="334" customWidth="1"/>
    <col min="3" max="4" width="9.140625" style="334"/>
    <col min="5" max="5" width="14.42578125" style="334" customWidth="1"/>
    <col min="6" max="6" width="12.42578125" style="334" customWidth="1"/>
    <col min="7" max="8" width="9.140625" style="334"/>
    <col min="10" max="10" width="26.5703125" customWidth="1"/>
    <col min="11" max="11" width="5.42578125" style="311" customWidth="1"/>
  </cols>
  <sheetData>
    <row r="1" spans="1:16" x14ac:dyDescent="0.2">
      <c r="A1" s="335" t="s">
        <v>5058</v>
      </c>
      <c r="B1" s="335" t="s">
        <v>5034</v>
      </c>
      <c r="C1" s="335" t="s">
        <v>5040</v>
      </c>
      <c r="E1" s="334" t="s">
        <v>325</v>
      </c>
      <c r="F1" s="334" t="s">
        <v>573</v>
      </c>
      <c r="J1" s="312" t="s">
        <v>5074</v>
      </c>
      <c r="K1" s="312"/>
      <c r="L1" s="312" t="s">
        <v>5075</v>
      </c>
      <c r="O1" s="312"/>
    </row>
    <row r="2" spans="1:16" ht="15" x14ac:dyDescent="0.25">
      <c r="A2" s="832" t="s">
        <v>227</v>
      </c>
      <c r="B2" s="334">
        <v>1</v>
      </c>
      <c r="C2" s="832" t="s">
        <v>5039</v>
      </c>
      <c r="K2" s="316" t="s">
        <v>5077</v>
      </c>
      <c r="L2" s="311" t="s">
        <v>159</v>
      </c>
      <c r="M2" s="311" t="s">
        <v>67</v>
      </c>
      <c r="N2" s="311" t="s">
        <v>160</v>
      </c>
      <c r="O2" s="312" t="s">
        <v>5041</v>
      </c>
      <c r="P2" s="311" t="s">
        <v>472</v>
      </c>
    </row>
    <row r="3" spans="1:16" ht="15" x14ac:dyDescent="0.25">
      <c r="A3" s="832" t="s">
        <v>189</v>
      </c>
      <c r="B3" s="334">
        <v>1</v>
      </c>
      <c r="C3" s="832" t="s">
        <v>31</v>
      </c>
      <c r="E3" s="334" t="s">
        <v>576</v>
      </c>
      <c r="F3" s="334">
        <v>1.44</v>
      </c>
      <c r="J3" t="s">
        <v>356</v>
      </c>
      <c r="K3" s="311">
        <v>2</v>
      </c>
      <c r="L3">
        <f>24/1000</f>
        <v>2.4E-2</v>
      </c>
      <c r="M3">
        <v>24</v>
      </c>
      <c r="N3" s="312" t="s">
        <v>5073</v>
      </c>
      <c r="O3" s="312" t="s">
        <v>5073</v>
      </c>
      <c r="P3" s="312" t="s">
        <v>5073</v>
      </c>
    </row>
    <row r="4" spans="1:16" ht="15" x14ac:dyDescent="0.25">
      <c r="A4" s="832" t="s">
        <v>228</v>
      </c>
      <c r="B4" s="334">
        <v>1</v>
      </c>
      <c r="C4" s="832" t="s">
        <v>31</v>
      </c>
      <c r="E4" s="334" t="s">
        <v>355</v>
      </c>
      <c r="F4" s="334">
        <v>1</v>
      </c>
      <c r="J4" t="s">
        <v>184</v>
      </c>
      <c r="K4" s="311">
        <v>3</v>
      </c>
      <c r="L4" s="312" t="s">
        <v>5073</v>
      </c>
      <c r="M4" s="312" t="s">
        <v>5073</v>
      </c>
      <c r="N4" s="312" t="s">
        <v>5073</v>
      </c>
      <c r="O4">
        <v>1</v>
      </c>
      <c r="P4" s="312" t="s">
        <v>5073</v>
      </c>
    </row>
    <row r="5" spans="1:16" ht="15" x14ac:dyDescent="0.25">
      <c r="A5" s="832" t="s">
        <v>190</v>
      </c>
      <c r="B5" s="334">
        <v>1</v>
      </c>
      <c r="C5" s="832" t="s">
        <v>31</v>
      </c>
      <c r="E5" s="334" t="s">
        <v>466</v>
      </c>
      <c r="F5" s="334">
        <v>1440</v>
      </c>
      <c r="J5" t="s">
        <v>576</v>
      </c>
      <c r="K5" s="311">
        <v>4</v>
      </c>
      <c r="L5">
        <f>1000/60</f>
        <v>16.666666666666668</v>
      </c>
      <c r="M5">
        <f>1000*1000/60</f>
        <v>16666.666666666668</v>
      </c>
      <c r="N5" s="312" t="s">
        <v>5073</v>
      </c>
      <c r="O5" s="312" t="s">
        <v>5073</v>
      </c>
      <c r="P5" s="312" t="s">
        <v>5073</v>
      </c>
    </row>
    <row r="6" spans="1:16" ht="15" x14ac:dyDescent="0.25">
      <c r="A6" s="832" t="s">
        <v>222</v>
      </c>
      <c r="B6" s="834">
        <v>4.3478000000000003E-2</v>
      </c>
      <c r="C6" s="832" t="s">
        <v>472</v>
      </c>
      <c r="E6" s="334" t="s">
        <v>354</v>
      </c>
      <c r="F6" s="334">
        <v>24</v>
      </c>
      <c r="J6" t="s">
        <v>712</v>
      </c>
      <c r="K6" s="311">
        <v>5</v>
      </c>
      <c r="L6">
        <v>1000</v>
      </c>
      <c r="M6">
        <f>1000*1000</f>
        <v>1000000</v>
      </c>
      <c r="N6" s="312" t="s">
        <v>5073</v>
      </c>
      <c r="O6" s="312" t="s">
        <v>5073</v>
      </c>
      <c r="P6" s="312" t="s">
        <v>5073</v>
      </c>
    </row>
    <row r="7" spans="1:16" ht="15" x14ac:dyDescent="0.25">
      <c r="A7" s="832" t="s">
        <v>223</v>
      </c>
      <c r="B7" s="834">
        <v>2.5641000000000001E-2</v>
      </c>
      <c r="C7" s="832" t="s">
        <v>472</v>
      </c>
      <c r="E7" s="334" t="s">
        <v>414</v>
      </c>
      <c r="F7" s="334">
        <v>1.4400000000000001E-3</v>
      </c>
      <c r="J7" t="s">
        <v>355</v>
      </c>
      <c r="K7" s="311">
        <v>6</v>
      </c>
      <c r="L7">
        <v>24</v>
      </c>
      <c r="M7">
        <f>1000*24</f>
        <v>24000</v>
      </c>
      <c r="N7" s="312" t="s">
        <v>5073</v>
      </c>
      <c r="O7" s="312" t="s">
        <v>5073</v>
      </c>
      <c r="P7" s="312" t="s">
        <v>5073</v>
      </c>
    </row>
    <row r="8" spans="1:16" ht="15" x14ac:dyDescent="0.25">
      <c r="A8" s="832" t="s">
        <v>224</v>
      </c>
      <c r="B8" s="834">
        <v>2.4899999999999999E-2</v>
      </c>
      <c r="C8" s="832" t="s">
        <v>472</v>
      </c>
      <c r="E8" s="334" t="s">
        <v>712</v>
      </c>
      <c r="F8" s="334">
        <v>2.4E-2</v>
      </c>
      <c r="J8" t="s">
        <v>466</v>
      </c>
      <c r="K8" s="311">
        <v>7</v>
      </c>
      <c r="L8">
        <f>1/60</f>
        <v>1.6666666666666666E-2</v>
      </c>
      <c r="M8">
        <f>1000/60</f>
        <v>16.666666666666668</v>
      </c>
      <c r="N8" s="312" t="s">
        <v>5073</v>
      </c>
      <c r="O8" s="312" t="s">
        <v>5073</v>
      </c>
      <c r="P8" s="312" t="s">
        <v>5073</v>
      </c>
    </row>
    <row r="9" spans="1:16" ht="15" x14ac:dyDescent="0.25">
      <c r="A9" s="832" t="s">
        <v>229</v>
      </c>
      <c r="B9" s="834">
        <v>3.2288999999999998E-2</v>
      </c>
      <c r="C9" s="832" t="s">
        <v>472</v>
      </c>
      <c r="E9" s="334" t="s">
        <v>356</v>
      </c>
      <c r="F9" s="334">
        <v>1</v>
      </c>
      <c r="J9" t="s">
        <v>354</v>
      </c>
      <c r="K9" s="311">
        <v>8</v>
      </c>
      <c r="L9">
        <v>1</v>
      </c>
      <c r="M9">
        <f>1000</f>
        <v>1000</v>
      </c>
      <c r="N9" s="312" t="s">
        <v>5073</v>
      </c>
      <c r="O9" s="312" t="s">
        <v>5073</v>
      </c>
      <c r="P9" s="312" t="s">
        <v>5073</v>
      </c>
    </row>
    <row r="10" spans="1:16" ht="15" x14ac:dyDescent="0.25">
      <c r="A10" s="832" t="s">
        <v>225</v>
      </c>
      <c r="B10" s="834">
        <v>4.1140999999999997E-2</v>
      </c>
      <c r="C10" s="832" t="s">
        <v>472</v>
      </c>
      <c r="E10" s="334" t="s">
        <v>65</v>
      </c>
      <c r="F10" s="334">
        <v>24</v>
      </c>
      <c r="J10" s="312" t="s">
        <v>171</v>
      </c>
      <c r="K10" s="311">
        <v>9</v>
      </c>
      <c r="L10" s="312" t="s">
        <v>5073</v>
      </c>
      <c r="M10" s="312" t="s">
        <v>5073</v>
      </c>
      <c r="N10" s="312">
        <v>1</v>
      </c>
      <c r="O10" s="312" t="s">
        <v>5073</v>
      </c>
      <c r="P10" s="312" t="s">
        <v>5073</v>
      </c>
    </row>
    <row r="11" spans="1:16" ht="15" x14ac:dyDescent="0.25">
      <c r="A11" s="832" t="s">
        <v>859</v>
      </c>
      <c r="B11" s="834">
        <v>1.7899999999999999E-2</v>
      </c>
      <c r="C11" s="832" t="s">
        <v>472</v>
      </c>
      <c r="J11" t="s">
        <v>383</v>
      </c>
      <c r="K11" s="311">
        <v>10</v>
      </c>
      <c r="L11" s="312" t="s">
        <v>5073</v>
      </c>
      <c r="M11" s="312" t="s">
        <v>5073</v>
      </c>
      <c r="N11" s="312" t="s">
        <v>5073</v>
      </c>
      <c r="O11" s="312" t="s">
        <v>5073</v>
      </c>
      <c r="P11">
        <f>24</f>
        <v>24</v>
      </c>
    </row>
    <row r="12" spans="1:16" ht="15" x14ac:dyDescent="0.25">
      <c r="A12" s="832" t="s">
        <v>860</v>
      </c>
      <c r="B12" s="834">
        <v>40</v>
      </c>
      <c r="C12" s="832" t="s">
        <v>5041</v>
      </c>
      <c r="J12" t="s">
        <v>414</v>
      </c>
      <c r="K12" s="311">
        <v>11</v>
      </c>
      <c r="L12" s="312">
        <f>1000*1000/60</f>
        <v>16666.666666666668</v>
      </c>
      <c r="M12" s="312">
        <f>1000*1000*1000/60</f>
        <v>16666666.666666666</v>
      </c>
      <c r="N12" s="312" t="s">
        <v>5073</v>
      </c>
      <c r="O12" s="312" t="s">
        <v>5073</v>
      </c>
      <c r="P12" s="312" t="s">
        <v>5073</v>
      </c>
    </row>
    <row r="13" spans="1:16" ht="15" x14ac:dyDescent="0.25">
      <c r="A13" s="832" t="s">
        <v>574</v>
      </c>
      <c r="B13" s="834">
        <v>2.8205999999999998E-2</v>
      </c>
      <c r="C13" s="832" t="s">
        <v>472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8" type="noConversion"/>
  <conditionalFormatting sqref="L3:P12">
    <cfRule type="cellIs" dxfId="20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O9" sqref="O9"/>
    </sheetView>
  </sheetViews>
  <sheetFormatPr defaultRowHeight="12.75" x14ac:dyDescent="0.2"/>
  <cols>
    <col min="1" max="1" width="27.28515625" style="558" customWidth="1"/>
    <col min="2" max="10" width="9.140625" style="558"/>
    <col min="11" max="11" width="9.140625" style="558" customWidth="1"/>
    <col min="12" max="18" width="9.140625" style="558"/>
    <col min="19" max="19" width="29.85546875" style="558" customWidth="1"/>
    <col min="20" max="16384" width="9.140625" style="558"/>
  </cols>
  <sheetData>
    <row r="1" spans="1:21" x14ac:dyDescent="0.2">
      <c r="B1" s="559" t="s">
        <v>5042</v>
      </c>
    </row>
    <row r="2" spans="1:21" ht="15" x14ac:dyDescent="0.25">
      <c r="B2" s="979">
        <v>2</v>
      </c>
      <c r="C2" s="979">
        <v>3</v>
      </c>
      <c r="D2" s="979">
        <v>4</v>
      </c>
      <c r="E2" s="979">
        <v>5</v>
      </c>
      <c r="F2" s="979">
        <v>6</v>
      </c>
      <c r="G2" s="979">
        <v>7</v>
      </c>
      <c r="H2" s="979">
        <v>8</v>
      </c>
      <c r="I2" s="979">
        <v>9</v>
      </c>
      <c r="J2" s="979">
        <v>10</v>
      </c>
      <c r="K2" s="979">
        <v>11</v>
      </c>
      <c r="L2" s="979">
        <v>12</v>
      </c>
      <c r="M2" s="979">
        <v>13</v>
      </c>
    </row>
    <row r="3" spans="1:21" ht="15" x14ac:dyDescent="0.25">
      <c r="B3" s="979" t="s">
        <v>227</v>
      </c>
      <c r="C3" s="979" t="s">
        <v>189</v>
      </c>
      <c r="D3" s="979" t="s">
        <v>228</v>
      </c>
      <c r="E3" s="979" t="s">
        <v>190</v>
      </c>
      <c r="F3" s="979" t="s">
        <v>222</v>
      </c>
      <c r="G3" s="979" t="s">
        <v>223</v>
      </c>
      <c r="H3" s="979" t="s">
        <v>224</v>
      </c>
      <c r="I3" s="979" t="s">
        <v>229</v>
      </c>
      <c r="J3" s="979" t="s">
        <v>225</v>
      </c>
      <c r="K3" s="979" t="s">
        <v>859</v>
      </c>
      <c r="L3" s="979" t="s">
        <v>860</v>
      </c>
      <c r="M3" s="979" t="s">
        <v>574</v>
      </c>
    </row>
    <row r="4" spans="1:21" ht="15" x14ac:dyDescent="0.25">
      <c r="A4" s="977" t="s">
        <v>5059</v>
      </c>
      <c r="B4" s="980" t="str">
        <f t="shared" ref="B4:M4" si="0">VLOOKUP(B3,Tbl_Glob_Conversie,3,FALSE)</f>
        <v>kcal</v>
      </c>
      <c r="C4" s="980" t="str">
        <f t="shared" si="0"/>
        <v>gram</v>
      </c>
      <c r="D4" s="980" t="str">
        <f t="shared" si="0"/>
        <v>gram</v>
      </c>
      <c r="E4" s="980" t="str">
        <f t="shared" si="0"/>
        <v>gram</v>
      </c>
      <c r="F4" s="980" t="str">
        <f t="shared" si="0"/>
        <v>mmol</v>
      </c>
      <c r="G4" s="980" t="str">
        <f t="shared" si="0"/>
        <v>mmol</v>
      </c>
      <c r="H4" s="980" t="str">
        <f t="shared" si="0"/>
        <v>mmol</v>
      </c>
      <c r="I4" s="980" t="str">
        <f t="shared" si="0"/>
        <v>mmol</v>
      </c>
      <c r="J4" s="980" t="str">
        <f t="shared" si="0"/>
        <v>mmol</v>
      </c>
      <c r="K4" s="980" t="str">
        <f t="shared" si="0"/>
        <v>mmol</v>
      </c>
      <c r="L4" s="980" t="str">
        <f t="shared" si="0"/>
        <v>IE</v>
      </c>
      <c r="M4" s="980" t="str">
        <f t="shared" si="0"/>
        <v>mmol</v>
      </c>
    </row>
    <row r="5" spans="1:21" x14ac:dyDescent="0.2">
      <c r="B5" s="334"/>
      <c r="C5" s="334"/>
      <c r="D5" s="334"/>
      <c r="E5" s="334"/>
      <c r="F5" s="334"/>
      <c r="G5" s="334"/>
      <c r="H5" s="334"/>
      <c r="I5" s="334"/>
      <c r="J5" s="334"/>
      <c r="K5" s="334"/>
      <c r="L5" s="334"/>
      <c r="M5" s="334"/>
    </row>
    <row r="6" spans="1:21" x14ac:dyDescent="0.2">
      <c r="A6" s="558" t="s">
        <v>575</v>
      </c>
      <c r="B6" s="334">
        <f>D6*4</f>
        <v>0.2</v>
      </c>
      <c r="C6" s="334"/>
      <c r="D6" s="456">
        <v>0.05</v>
      </c>
      <c r="E6" s="334"/>
      <c r="F6" s="334"/>
      <c r="G6" s="334"/>
      <c r="H6" s="334"/>
      <c r="I6" s="334"/>
      <c r="J6" s="334"/>
      <c r="K6" s="334"/>
      <c r="L6" s="334"/>
      <c r="M6" s="334"/>
    </row>
    <row r="7" spans="1:21" x14ac:dyDescent="0.2">
      <c r="A7" s="558" t="s">
        <v>578</v>
      </c>
      <c r="B7" s="334">
        <f t="shared" ref="B7:B19" si="1">D7*4</f>
        <v>0.4</v>
      </c>
      <c r="C7" s="334"/>
      <c r="D7" s="456">
        <v>0.1</v>
      </c>
      <c r="E7" s="334"/>
      <c r="F7" s="334"/>
      <c r="G7" s="334"/>
      <c r="H7" s="334"/>
      <c r="I7" s="334"/>
      <c r="J7" s="334"/>
      <c r="K7" s="334"/>
      <c r="L7" s="334"/>
      <c r="M7" s="334"/>
    </row>
    <row r="8" spans="1:21" x14ac:dyDescent="0.2">
      <c r="A8" s="558" t="s">
        <v>5052</v>
      </c>
      <c r="B8" s="334">
        <f t="shared" si="1"/>
        <v>0.5</v>
      </c>
      <c r="C8" s="334"/>
      <c r="D8" s="334">
        <v>0.125</v>
      </c>
      <c r="E8" s="334"/>
      <c r="F8" s="334"/>
      <c r="G8" s="334"/>
      <c r="H8" s="334"/>
      <c r="I8" s="334"/>
      <c r="J8" s="334"/>
      <c r="K8" s="334"/>
      <c r="L8" s="334"/>
      <c r="M8" s="334"/>
    </row>
    <row r="9" spans="1:21" x14ac:dyDescent="0.2">
      <c r="A9" s="558" t="s">
        <v>579</v>
      </c>
      <c r="B9" s="334">
        <f t="shared" si="1"/>
        <v>0.6</v>
      </c>
      <c r="C9" s="334"/>
      <c r="D9" s="334">
        <v>0.15</v>
      </c>
      <c r="E9" s="334"/>
      <c r="F9" s="334"/>
      <c r="G9" s="334"/>
      <c r="H9" s="334"/>
      <c r="I9" s="334"/>
      <c r="J9" s="334"/>
      <c r="K9" s="334"/>
      <c r="L9" s="334"/>
      <c r="M9" s="334"/>
    </row>
    <row r="10" spans="1:21" x14ac:dyDescent="0.2">
      <c r="A10" s="558" t="s">
        <v>5053</v>
      </c>
      <c r="B10" s="334">
        <f t="shared" si="1"/>
        <v>0.7</v>
      </c>
      <c r="C10" s="334"/>
      <c r="D10" s="334">
        <v>0.17499999999999999</v>
      </c>
      <c r="E10" s="334"/>
      <c r="F10" s="334"/>
      <c r="G10" s="334"/>
      <c r="H10" s="334"/>
      <c r="I10" s="334"/>
      <c r="J10" s="334"/>
      <c r="K10" s="334"/>
      <c r="L10" s="334"/>
      <c r="M10" s="334"/>
      <c r="S10" s="862"/>
      <c r="T10" s="862"/>
      <c r="U10" s="862"/>
    </row>
    <row r="11" spans="1:21" x14ac:dyDescent="0.2">
      <c r="A11" s="558" t="s">
        <v>581</v>
      </c>
      <c r="B11" s="334">
        <f t="shared" si="1"/>
        <v>0.8</v>
      </c>
      <c r="C11" s="334"/>
      <c r="D11" s="456">
        <v>0.2</v>
      </c>
      <c r="E11" s="334"/>
      <c r="F11" s="334"/>
      <c r="G11" s="334"/>
      <c r="H11" s="334"/>
      <c r="I11" s="334"/>
      <c r="J11" s="334"/>
      <c r="K11" s="334"/>
      <c r="L11" s="334"/>
      <c r="M11" s="334"/>
      <c r="S11" s="862"/>
      <c r="U11" s="862"/>
    </row>
    <row r="12" spans="1:21" x14ac:dyDescent="0.2">
      <c r="A12" s="558" t="s">
        <v>582</v>
      </c>
      <c r="B12" s="334">
        <f t="shared" si="1"/>
        <v>1</v>
      </c>
      <c r="C12" s="334"/>
      <c r="D12" s="456">
        <v>0.25</v>
      </c>
      <c r="E12" s="334"/>
      <c r="F12" s="334"/>
      <c r="G12" s="334"/>
      <c r="H12" s="334"/>
      <c r="I12" s="334"/>
      <c r="J12" s="334"/>
      <c r="K12" s="334"/>
      <c r="L12" s="334"/>
      <c r="M12" s="334"/>
      <c r="S12" s="862"/>
      <c r="U12" s="862"/>
    </row>
    <row r="13" spans="1:21" x14ac:dyDescent="0.2">
      <c r="A13" s="862" t="s">
        <v>583</v>
      </c>
      <c r="B13" s="334">
        <f t="shared" si="1"/>
        <v>1.2</v>
      </c>
      <c r="C13" s="334"/>
      <c r="D13" s="456">
        <v>0.3</v>
      </c>
      <c r="E13" s="334"/>
      <c r="F13" s="334"/>
      <c r="G13" s="334"/>
      <c r="H13" s="334"/>
      <c r="I13" s="334"/>
      <c r="J13" s="334"/>
      <c r="K13" s="334"/>
      <c r="L13" s="334"/>
      <c r="M13" s="334"/>
      <c r="S13" s="862"/>
      <c r="T13" s="862"/>
      <c r="U13" s="862"/>
    </row>
    <row r="14" spans="1:21" x14ac:dyDescent="0.2">
      <c r="A14" s="559" t="s">
        <v>584</v>
      </c>
      <c r="B14" s="334">
        <f t="shared" si="1"/>
        <v>1.4</v>
      </c>
      <c r="C14" s="334"/>
      <c r="D14" s="456">
        <v>0.35</v>
      </c>
      <c r="E14" s="334"/>
      <c r="F14" s="334"/>
      <c r="G14" s="334"/>
      <c r="H14" s="334"/>
      <c r="I14" s="334"/>
      <c r="J14" s="334"/>
      <c r="K14" s="334"/>
      <c r="L14" s="334"/>
      <c r="M14" s="334"/>
      <c r="S14" s="862"/>
      <c r="U14" s="862"/>
    </row>
    <row r="15" spans="1:21" x14ac:dyDescent="0.2">
      <c r="A15" s="558" t="s">
        <v>585</v>
      </c>
      <c r="B15" s="334">
        <f t="shared" si="1"/>
        <v>1.6</v>
      </c>
      <c r="C15" s="334"/>
      <c r="D15" s="456">
        <v>0.4</v>
      </c>
      <c r="E15" s="334"/>
      <c r="F15" s="334"/>
      <c r="G15" s="334"/>
      <c r="H15" s="334"/>
      <c r="I15" s="334"/>
      <c r="J15" s="334"/>
      <c r="K15" s="334"/>
      <c r="L15" s="334"/>
      <c r="M15" s="334"/>
      <c r="S15" s="862"/>
      <c r="U15" s="862"/>
    </row>
    <row r="16" spans="1:21" x14ac:dyDescent="0.2">
      <c r="A16" s="862" t="s">
        <v>586</v>
      </c>
      <c r="B16" s="334">
        <f t="shared" si="1"/>
        <v>1.8</v>
      </c>
      <c r="C16" s="334"/>
      <c r="D16" s="456">
        <v>0.45</v>
      </c>
      <c r="E16" s="334"/>
      <c r="F16" s="334"/>
      <c r="G16" s="334"/>
      <c r="H16" s="334"/>
      <c r="I16" s="334"/>
      <c r="J16" s="334"/>
      <c r="K16" s="334"/>
      <c r="L16" s="334"/>
      <c r="M16" s="334"/>
      <c r="S16" s="862"/>
      <c r="U16" s="862"/>
    </row>
    <row r="17" spans="1:21" x14ac:dyDescent="0.2">
      <c r="A17" s="558" t="s">
        <v>587</v>
      </c>
      <c r="B17" s="334">
        <f t="shared" si="1"/>
        <v>2</v>
      </c>
      <c r="C17" s="334"/>
      <c r="D17" s="456">
        <v>0.5</v>
      </c>
      <c r="E17" s="334"/>
      <c r="F17" s="334"/>
      <c r="G17" s="334"/>
      <c r="H17" s="334"/>
      <c r="I17" s="334"/>
      <c r="J17" s="334"/>
      <c r="K17" s="334"/>
      <c r="L17" s="334"/>
      <c r="M17" s="334"/>
      <c r="S17" s="862"/>
      <c r="U17" s="862"/>
    </row>
    <row r="18" spans="1:21" x14ac:dyDescent="0.2">
      <c r="A18" s="558" t="s">
        <v>5054</v>
      </c>
      <c r="B18" s="334">
        <f t="shared" si="1"/>
        <v>0.2</v>
      </c>
      <c r="C18" s="334"/>
      <c r="D18" s="334">
        <v>0.05</v>
      </c>
      <c r="E18" s="334"/>
      <c r="F18" s="334">
        <v>7.6999999999999999E-2</v>
      </c>
      <c r="G18" s="334"/>
      <c r="H18" s="334"/>
      <c r="I18" s="334"/>
      <c r="J18" s="334"/>
      <c r="K18" s="334"/>
      <c r="L18" s="334"/>
      <c r="M18" s="334">
        <f>F18</f>
        <v>7.6999999999999999E-2</v>
      </c>
      <c r="S18" s="862"/>
      <c r="U18" s="862"/>
    </row>
    <row r="19" spans="1:21" x14ac:dyDescent="0.2">
      <c r="A19" s="558" t="s">
        <v>5055</v>
      </c>
      <c r="B19" s="334">
        <f t="shared" si="1"/>
        <v>0.2</v>
      </c>
      <c r="C19" s="334"/>
      <c r="D19" s="334">
        <v>0.05</v>
      </c>
      <c r="E19" s="334"/>
      <c r="F19" s="334">
        <v>0.155</v>
      </c>
      <c r="G19" s="334"/>
      <c r="H19" s="334"/>
      <c r="I19" s="334"/>
      <c r="J19" s="334"/>
      <c r="K19" s="334"/>
      <c r="L19" s="334"/>
      <c r="M19" s="334">
        <f t="shared" ref="M19:M21" si="2">F19</f>
        <v>0.155</v>
      </c>
      <c r="S19" s="862"/>
      <c r="U19" s="862"/>
    </row>
    <row r="20" spans="1:21" x14ac:dyDescent="0.2">
      <c r="A20" s="978" t="s">
        <v>5366</v>
      </c>
      <c r="B20" s="334"/>
      <c r="C20" s="334"/>
      <c r="D20" s="334"/>
      <c r="E20" s="334"/>
      <c r="F20" s="334">
        <f>F21/2</f>
        <v>7.7499999999999999E-2</v>
      </c>
      <c r="G20" s="334"/>
      <c r="H20" s="334"/>
      <c r="I20" s="334"/>
      <c r="J20" s="334"/>
      <c r="K20" s="334"/>
      <c r="L20" s="334"/>
      <c r="M20" s="334">
        <f t="shared" si="2"/>
        <v>7.7499999999999999E-2</v>
      </c>
      <c r="S20" s="862"/>
      <c r="U20" s="862"/>
    </row>
    <row r="21" spans="1:21" x14ac:dyDescent="0.2">
      <c r="A21" s="558" t="s">
        <v>302</v>
      </c>
      <c r="B21" s="334"/>
      <c r="C21" s="334"/>
      <c r="D21" s="334"/>
      <c r="E21" s="334"/>
      <c r="F21" s="334">
        <v>0.155</v>
      </c>
      <c r="G21" s="334"/>
      <c r="H21" s="334"/>
      <c r="I21" s="334"/>
      <c r="J21" s="334"/>
      <c r="K21" s="334"/>
      <c r="L21" s="334"/>
      <c r="M21" s="334">
        <f t="shared" si="2"/>
        <v>0.155</v>
      </c>
      <c r="S21" s="862"/>
      <c r="U21" s="862"/>
    </row>
    <row r="22" spans="1:21" x14ac:dyDescent="0.2">
      <c r="A22" s="558" t="s">
        <v>450</v>
      </c>
      <c r="B22" s="334"/>
      <c r="C22" s="334"/>
      <c r="D22" s="334"/>
      <c r="E22" s="334"/>
      <c r="F22" s="334">
        <v>0.13100000000000001</v>
      </c>
      <c r="G22" s="334">
        <v>5.4000000000000003E-3</v>
      </c>
      <c r="H22" s="334"/>
      <c r="I22" s="334"/>
      <c r="J22" s="334"/>
      <c r="K22" s="334"/>
      <c r="L22" s="334"/>
      <c r="M22" s="334">
        <v>0.109</v>
      </c>
      <c r="S22" s="862"/>
      <c r="T22" s="862"/>
      <c r="U22" s="862"/>
    </row>
    <row r="23" spans="1:21" x14ac:dyDescent="0.2">
      <c r="A23" s="862" t="s">
        <v>588</v>
      </c>
      <c r="B23" s="334"/>
      <c r="C23" s="334"/>
      <c r="D23" s="334"/>
      <c r="E23" s="334"/>
      <c r="F23" s="456">
        <v>0.5</v>
      </c>
      <c r="G23" s="334"/>
      <c r="H23" s="334"/>
      <c r="I23" s="334"/>
      <c r="J23" s="334"/>
      <c r="K23" s="334"/>
      <c r="L23" s="334"/>
      <c r="M23" s="334"/>
      <c r="S23" s="862"/>
      <c r="T23" s="862"/>
    </row>
    <row r="24" spans="1:21" x14ac:dyDescent="0.2">
      <c r="A24" s="862" t="s">
        <v>55</v>
      </c>
      <c r="B24" s="334"/>
      <c r="C24" s="334"/>
      <c r="D24" s="334"/>
      <c r="E24" s="334"/>
      <c r="F24" s="456">
        <v>1</v>
      </c>
      <c r="G24" s="334"/>
      <c r="H24" s="334"/>
      <c r="I24" s="334"/>
      <c r="J24" s="334"/>
      <c r="K24" s="334"/>
      <c r="L24" s="334"/>
      <c r="M24" s="334"/>
      <c r="S24" s="862"/>
      <c r="T24" s="862"/>
    </row>
    <row r="25" spans="1:21" x14ac:dyDescent="0.2">
      <c r="A25" s="862" t="s">
        <v>328</v>
      </c>
      <c r="B25" s="334"/>
      <c r="C25" s="334"/>
      <c r="D25" s="334"/>
      <c r="E25" s="334"/>
      <c r="F25" s="456">
        <v>0.5</v>
      </c>
      <c r="G25" s="334"/>
      <c r="H25" s="334"/>
      <c r="I25" s="334"/>
      <c r="J25" s="334"/>
      <c r="K25" s="334"/>
      <c r="L25" s="334"/>
      <c r="M25" s="334">
        <f>F25</f>
        <v>0.5</v>
      </c>
      <c r="T25" s="862"/>
    </row>
    <row r="26" spans="1:21" x14ac:dyDescent="0.2">
      <c r="A26" s="558" t="s">
        <v>557</v>
      </c>
      <c r="B26" s="334"/>
      <c r="C26" s="334"/>
      <c r="D26" s="334"/>
      <c r="E26" s="334"/>
      <c r="F26" s="456"/>
      <c r="G26" s="204">
        <v>1</v>
      </c>
      <c r="H26" s="334"/>
      <c r="I26" s="334"/>
      <c r="J26" s="334"/>
      <c r="K26" s="334"/>
      <c r="L26" s="334"/>
      <c r="M26" s="334"/>
      <c r="T26" s="862"/>
    </row>
    <row r="27" spans="1:21" x14ac:dyDescent="0.2">
      <c r="A27" s="558" t="s">
        <v>220</v>
      </c>
      <c r="B27" s="334"/>
      <c r="C27" s="334"/>
      <c r="D27" s="334"/>
      <c r="E27" s="334"/>
      <c r="F27" s="456"/>
      <c r="G27" s="334">
        <v>1</v>
      </c>
      <c r="H27" s="334"/>
      <c r="I27" s="334"/>
      <c r="J27" s="334"/>
      <c r="K27" s="334"/>
      <c r="L27" s="334"/>
      <c r="M27" s="334">
        <f>G27</f>
        <v>1</v>
      </c>
      <c r="T27" s="862"/>
    </row>
    <row r="28" spans="1:21" x14ac:dyDescent="0.2">
      <c r="A28" s="558" t="s">
        <v>558</v>
      </c>
      <c r="B28" s="334"/>
      <c r="C28" s="334"/>
      <c r="D28" s="334"/>
      <c r="E28" s="334"/>
      <c r="F28" s="456"/>
      <c r="G28" s="334"/>
      <c r="H28" s="204">
        <v>0.22500000000000001</v>
      </c>
      <c r="I28" s="334"/>
      <c r="J28" s="334"/>
      <c r="K28" s="334"/>
      <c r="L28" s="334"/>
      <c r="M28" s="204">
        <v>0.45</v>
      </c>
      <c r="T28" s="862"/>
    </row>
    <row r="29" spans="1:21" x14ac:dyDescent="0.2">
      <c r="A29" s="558" t="s">
        <v>329</v>
      </c>
      <c r="B29" s="334"/>
      <c r="C29" s="334"/>
      <c r="D29" s="334"/>
      <c r="E29" s="334"/>
      <c r="F29" s="456"/>
      <c r="G29" s="334"/>
      <c r="H29" s="334">
        <v>0.22500000000000001</v>
      </c>
      <c r="I29" s="334"/>
      <c r="J29" s="334"/>
      <c r="K29" s="334"/>
      <c r="L29" s="334"/>
      <c r="M29" s="334"/>
      <c r="T29" s="862"/>
    </row>
    <row r="30" spans="1:21" x14ac:dyDescent="0.2">
      <c r="A30" s="558" t="s">
        <v>559</v>
      </c>
      <c r="B30" s="334"/>
      <c r="C30" s="334"/>
      <c r="D30" s="334"/>
      <c r="E30" s="334"/>
      <c r="F30" s="456"/>
      <c r="G30" s="334"/>
      <c r="H30" s="334"/>
      <c r="I30" s="334"/>
      <c r="J30" s="204">
        <v>0.5</v>
      </c>
      <c r="K30" s="334"/>
      <c r="L30" s="334"/>
      <c r="M30" s="204">
        <v>1</v>
      </c>
      <c r="T30" s="862"/>
    </row>
    <row r="31" spans="1:21" x14ac:dyDescent="0.2">
      <c r="A31" s="558" t="s">
        <v>310</v>
      </c>
      <c r="B31" s="334"/>
      <c r="C31" s="334"/>
      <c r="D31" s="334"/>
      <c r="E31" s="334"/>
      <c r="F31" s="456"/>
      <c r="G31" s="334"/>
      <c r="H31" s="334"/>
      <c r="I31" s="334"/>
      <c r="J31" s="204">
        <v>0.5</v>
      </c>
      <c r="K31" s="334"/>
      <c r="L31" s="334"/>
      <c r="M31" s="204">
        <v>1</v>
      </c>
      <c r="T31" s="862"/>
    </row>
    <row r="32" spans="1:21" x14ac:dyDescent="0.2">
      <c r="A32" s="558" t="s">
        <v>308</v>
      </c>
      <c r="B32" s="334"/>
      <c r="C32" s="334"/>
      <c r="D32" s="334"/>
      <c r="E32" s="334"/>
      <c r="F32" s="334">
        <v>0.5</v>
      </c>
      <c r="G32" s="334">
        <v>1.25</v>
      </c>
      <c r="H32" s="334"/>
      <c r="I32" s="334">
        <v>1.5</v>
      </c>
      <c r="J32" s="204"/>
      <c r="K32" s="334"/>
      <c r="L32" s="334"/>
      <c r="M32" s="204"/>
      <c r="T32" s="862"/>
    </row>
    <row r="33" spans="1:13" x14ac:dyDescent="0.2">
      <c r="A33" s="862" t="s">
        <v>117</v>
      </c>
      <c r="B33" s="334"/>
      <c r="C33" s="334">
        <v>0.2</v>
      </c>
      <c r="D33" s="334"/>
      <c r="E33" s="334"/>
      <c r="F33" s="334"/>
      <c r="G33" s="334"/>
      <c r="H33" s="334"/>
      <c r="I33" s="334"/>
      <c r="J33" s="334"/>
      <c r="K33" s="334"/>
      <c r="L33" s="334"/>
      <c r="M33" s="334"/>
    </row>
    <row r="34" spans="1:13" x14ac:dyDescent="0.2">
      <c r="A34" s="558" t="s">
        <v>589</v>
      </c>
      <c r="B34" s="334">
        <v>0.28999999999999998</v>
      </c>
      <c r="C34" s="334">
        <v>7.4285714285714288E-2</v>
      </c>
      <c r="D34" s="334"/>
      <c r="E34" s="334"/>
      <c r="F34" s="334">
        <v>5.4285714285714284E-2</v>
      </c>
      <c r="G34" s="334">
        <v>7.1428571428571425E-2</v>
      </c>
      <c r="H34" s="334">
        <v>2.5714285714285714E-2</v>
      </c>
      <c r="I34" s="334">
        <v>3.4285714285714287E-2</v>
      </c>
      <c r="J34" s="334">
        <v>4.2857142857142859E-3</v>
      </c>
      <c r="K34" s="334"/>
      <c r="L34" s="334"/>
      <c r="M34" s="334"/>
    </row>
    <row r="35" spans="1:13" x14ac:dyDescent="0.2">
      <c r="A35" s="558" t="s">
        <v>326</v>
      </c>
      <c r="B35" s="334">
        <v>0.28999999999999998</v>
      </c>
      <c r="C35" s="334">
        <v>7.4285714285714288E-2</v>
      </c>
      <c r="D35" s="334">
        <v>0</v>
      </c>
      <c r="E35" s="334"/>
      <c r="F35" s="334">
        <v>7.1428571428571426E-3</v>
      </c>
      <c r="G35" s="334">
        <v>1.7142857142857144E-2</v>
      </c>
      <c r="H35" s="334">
        <v>2.5714285714285714E-2</v>
      </c>
      <c r="I35" s="334">
        <v>2.1428571428571429E-2</v>
      </c>
      <c r="J35" s="334">
        <v>5.7142857142857143E-3</v>
      </c>
      <c r="K35" s="334"/>
      <c r="L35" s="334"/>
      <c r="M35" s="334"/>
    </row>
    <row r="36" spans="1:13" x14ac:dyDescent="0.2">
      <c r="A36" s="558" t="s">
        <v>327</v>
      </c>
      <c r="B36" s="334">
        <v>0.32</v>
      </c>
      <c r="C36" s="334">
        <v>0.08</v>
      </c>
      <c r="D36" s="334">
        <v>0</v>
      </c>
      <c r="E36" s="334"/>
      <c r="F36" s="334">
        <v>8.0000000000000002E-3</v>
      </c>
      <c r="G36" s="334">
        <v>0.02</v>
      </c>
      <c r="H36" s="334">
        <v>2.8000000000000001E-2</v>
      </c>
      <c r="I36" s="334">
        <v>2.4E-2</v>
      </c>
      <c r="J36" s="334">
        <v>8.0000000000000002E-3</v>
      </c>
      <c r="K36" s="334"/>
      <c r="L36" s="334"/>
      <c r="M36" s="334"/>
    </row>
    <row r="37" spans="1:13" x14ac:dyDescent="0.2">
      <c r="A37" s="558" t="s">
        <v>41</v>
      </c>
      <c r="B37" s="334">
        <v>0.35</v>
      </c>
      <c r="C37" s="334">
        <v>8.7999999999999995E-2</v>
      </c>
      <c r="D37" s="334">
        <v>0</v>
      </c>
      <c r="E37" s="334"/>
      <c r="F37" s="334">
        <v>0.01</v>
      </c>
      <c r="G37" s="334">
        <v>2.5000000000000001E-2</v>
      </c>
      <c r="H37" s="334">
        <v>1.7999999999999999E-2</v>
      </c>
      <c r="I37" s="334">
        <v>0.03</v>
      </c>
      <c r="J37" s="334">
        <v>0.01</v>
      </c>
      <c r="K37" s="334"/>
      <c r="L37" s="334"/>
      <c r="M37" s="334"/>
    </row>
    <row r="38" spans="1:13" x14ac:dyDescent="0.2">
      <c r="A38" s="558" t="s">
        <v>42</v>
      </c>
      <c r="B38" s="334">
        <v>0.33</v>
      </c>
      <c r="C38" s="334">
        <v>8.3000000000000004E-2</v>
      </c>
      <c r="D38" s="334">
        <v>0</v>
      </c>
      <c r="E38" s="334"/>
      <c r="F38" s="334">
        <v>1.2499999999999999E-2</v>
      </c>
      <c r="G38" s="334">
        <v>3.1E-2</v>
      </c>
      <c r="H38" s="334">
        <v>2.5999999999999999E-2</v>
      </c>
      <c r="I38" s="334">
        <v>3.7999999999999999E-2</v>
      </c>
      <c r="J38" s="334">
        <v>1.2500000000000001E-2</v>
      </c>
      <c r="K38" s="334"/>
      <c r="L38" s="334"/>
      <c r="M38" s="334"/>
    </row>
    <row r="39" spans="1:13" x14ac:dyDescent="0.2">
      <c r="A39" s="558" t="s">
        <v>78</v>
      </c>
      <c r="B39" s="334">
        <v>0.96</v>
      </c>
      <c r="C39" s="334">
        <v>7.0000000000000007E-2</v>
      </c>
      <c r="D39" s="334">
        <v>0.24</v>
      </c>
      <c r="E39" s="334"/>
      <c r="F39" s="334">
        <v>4.0500000000000001E-2</v>
      </c>
      <c r="G39" s="334">
        <v>2.5700000000000001E-2</v>
      </c>
      <c r="H39" s="334">
        <v>4.1000000000000003E-3</v>
      </c>
      <c r="I39" s="334">
        <v>1.47E-2</v>
      </c>
      <c r="J39" s="334">
        <v>5.0000000000000001E-3</v>
      </c>
      <c r="K39" s="334"/>
      <c r="L39" s="334"/>
      <c r="M39" s="334"/>
    </row>
    <row r="40" spans="1:13" x14ac:dyDescent="0.2">
      <c r="A40" s="558" t="s">
        <v>514</v>
      </c>
      <c r="B40" s="334"/>
      <c r="C40" s="204">
        <v>0.1</v>
      </c>
      <c r="D40" s="334"/>
      <c r="E40" s="334"/>
      <c r="F40" s="334"/>
      <c r="G40" s="334"/>
      <c r="H40" s="334"/>
      <c r="I40" s="334"/>
      <c r="J40" s="334"/>
      <c r="K40" s="334"/>
      <c r="L40" s="204">
        <v>40</v>
      </c>
      <c r="M40" s="334"/>
    </row>
    <row r="41" spans="1:13" x14ac:dyDescent="0.2">
      <c r="A41" s="558" t="s">
        <v>194</v>
      </c>
      <c r="B41" s="334"/>
      <c r="C41" s="334"/>
      <c r="D41" s="334"/>
      <c r="E41" s="334"/>
      <c r="F41" s="334"/>
      <c r="G41" s="334"/>
      <c r="H41" s="334"/>
      <c r="I41" s="334"/>
      <c r="J41" s="334"/>
      <c r="K41" s="334"/>
      <c r="L41" s="334"/>
      <c r="M41" s="334"/>
    </row>
    <row r="42" spans="1:13" x14ac:dyDescent="0.2">
      <c r="A42" s="558" t="s">
        <v>192</v>
      </c>
      <c r="B42" s="334">
        <f>9*E42</f>
        <v>1.8</v>
      </c>
      <c r="C42" s="334"/>
      <c r="D42" s="334"/>
      <c r="E42" s="335">
        <v>0.2</v>
      </c>
      <c r="F42" s="334"/>
      <c r="G42" s="334"/>
      <c r="H42" s="334"/>
      <c r="I42" s="334"/>
      <c r="J42" s="334"/>
      <c r="K42" s="334"/>
      <c r="L42" s="334"/>
      <c r="M42" s="334"/>
    </row>
    <row r="45" spans="1:13" x14ac:dyDescent="0.2">
      <c r="B45" s="478"/>
      <c r="C45" s="478"/>
      <c r="D45" s="478"/>
      <c r="E45" s="478"/>
      <c r="F45" s="478"/>
      <c r="G45" s="478"/>
      <c r="H45" s="478"/>
      <c r="I45" s="478"/>
      <c r="J45" s="478"/>
      <c r="K45" s="478"/>
      <c r="L45" s="478"/>
      <c r="M45" s="478"/>
    </row>
    <row r="46" spans="1:13" x14ac:dyDescent="0.2">
      <c r="B46" s="478"/>
      <c r="D46" s="478"/>
      <c r="E46" s="478"/>
      <c r="F46" s="478"/>
      <c r="G46" s="478"/>
      <c r="H46" s="478"/>
      <c r="I46" s="478"/>
      <c r="J46" s="478"/>
      <c r="K46" s="478"/>
      <c r="L46" s="478"/>
      <c r="M46" s="478"/>
    </row>
    <row r="47" spans="1:13" x14ac:dyDescent="0.2">
      <c r="B47" s="478"/>
      <c r="C47" s="478"/>
      <c r="E47" s="478"/>
      <c r="F47" s="478"/>
      <c r="G47" s="478"/>
      <c r="H47" s="478"/>
      <c r="I47" s="478"/>
      <c r="J47" s="478"/>
      <c r="L47" s="478"/>
      <c r="M47" s="478"/>
    </row>
    <row r="48" spans="1:13" x14ac:dyDescent="0.2">
      <c r="B48" s="478"/>
      <c r="C48" s="478"/>
      <c r="D48" s="478"/>
      <c r="F48" s="478"/>
      <c r="G48" s="478"/>
      <c r="H48" s="478"/>
      <c r="I48" s="478"/>
      <c r="J48" s="478"/>
      <c r="L48" s="478"/>
      <c r="M48" s="478"/>
    </row>
    <row r="49" spans="2:13" x14ac:dyDescent="0.2">
      <c r="B49" s="478"/>
      <c r="C49" s="478"/>
      <c r="D49" s="478"/>
      <c r="E49" s="478"/>
      <c r="F49" s="478"/>
      <c r="G49" s="478"/>
      <c r="H49" s="478"/>
      <c r="I49" s="478"/>
      <c r="J49" s="478"/>
      <c r="K49" s="478"/>
      <c r="M49" s="478"/>
    </row>
    <row r="50" spans="2:13" x14ac:dyDescent="0.2">
      <c r="B50" s="478"/>
      <c r="C50" s="478"/>
      <c r="D50" s="478"/>
      <c r="E50" s="478"/>
      <c r="F50" s="478"/>
      <c r="H50" s="478"/>
      <c r="I50" s="478"/>
      <c r="J50" s="478"/>
      <c r="K50" s="478"/>
      <c r="L50" s="478"/>
      <c r="M50" s="47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G6" sqref="G6"/>
    </sheetView>
  </sheetViews>
  <sheetFormatPr defaultColWidth="9.140625" defaultRowHeight="12.75" x14ac:dyDescent="0.2"/>
  <cols>
    <col min="1" max="1" width="32.28515625" style="983" bestFit="1" customWidth="1"/>
    <col min="2" max="14" width="8.28515625" style="983" customWidth="1"/>
    <col min="15" max="15" width="35.140625" style="983" customWidth="1"/>
    <col min="16" max="30" width="7.7109375" style="983" customWidth="1"/>
    <col min="31" max="16384" width="9.140625" style="983"/>
  </cols>
  <sheetData>
    <row r="1" spans="1:35" x14ac:dyDescent="0.2">
      <c r="A1" s="982" t="s">
        <v>5063</v>
      </c>
      <c r="B1" s="983" t="s">
        <v>5064</v>
      </c>
      <c r="P1" s="983" t="s">
        <v>5042</v>
      </c>
      <c r="AG1" s="984"/>
      <c r="AH1" s="981"/>
      <c r="AI1" s="984"/>
    </row>
    <row r="2" spans="1:35" x14ac:dyDescent="0.2">
      <c r="B2" s="983" t="s">
        <v>5039</v>
      </c>
      <c r="C2" s="984" t="s">
        <v>31</v>
      </c>
      <c r="D2" s="984" t="s">
        <v>31</v>
      </c>
      <c r="E2" s="984" t="s">
        <v>31</v>
      </c>
      <c r="F2" s="984" t="s">
        <v>159</v>
      </c>
      <c r="G2" s="984" t="s">
        <v>159</v>
      </c>
      <c r="H2" s="984" t="s">
        <v>159</v>
      </c>
      <c r="I2" s="984" t="s">
        <v>159</v>
      </c>
      <c r="J2" s="984" t="s">
        <v>159</v>
      </c>
      <c r="K2" s="984" t="s">
        <v>159</v>
      </c>
      <c r="L2" s="984" t="s">
        <v>861</v>
      </c>
      <c r="M2" s="984" t="s">
        <v>159</v>
      </c>
      <c r="N2" s="984"/>
      <c r="O2" s="985" t="s">
        <v>5046</v>
      </c>
      <c r="P2" s="984">
        <v>2</v>
      </c>
      <c r="Q2" s="984">
        <v>3</v>
      </c>
      <c r="R2" s="984">
        <v>4</v>
      </c>
      <c r="S2" s="984">
        <v>5</v>
      </c>
      <c r="T2" s="984">
        <v>6</v>
      </c>
      <c r="U2" s="984">
        <v>7</v>
      </c>
      <c r="V2" s="984">
        <v>8</v>
      </c>
      <c r="W2" s="984">
        <v>9</v>
      </c>
      <c r="X2" s="984">
        <v>10</v>
      </c>
      <c r="Y2" s="984">
        <v>11</v>
      </c>
      <c r="Z2" s="984">
        <v>12</v>
      </c>
      <c r="AA2" s="984">
        <v>13</v>
      </c>
      <c r="AG2" s="984"/>
      <c r="AH2" s="981"/>
      <c r="AI2" s="984"/>
    </row>
    <row r="3" spans="1:35" x14ac:dyDescent="0.2">
      <c r="A3" s="984"/>
      <c r="B3" s="984" t="s">
        <v>227</v>
      </c>
      <c r="C3" s="984" t="s">
        <v>221</v>
      </c>
      <c r="D3" s="984" t="s">
        <v>521</v>
      </c>
      <c r="E3" s="984" t="s">
        <v>522</v>
      </c>
      <c r="F3" s="984" t="s">
        <v>222</v>
      </c>
      <c r="G3" s="984" t="s">
        <v>223</v>
      </c>
      <c r="H3" s="984" t="s">
        <v>224</v>
      </c>
      <c r="I3" s="984" t="s">
        <v>520</v>
      </c>
      <c r="J3" s="984" t="s">
        <v>225</v>
      </c>
      <c r="K3" s="984" t="s">
        <v>859</v>
      </c>
      <c r="L3" s="984" t="s">
        <v>860</v>
      </c>
      <c r="M3" s="984" t="s">
        <v>574</v>
      </c>
      <c r="N3" s="984"/>
      <c r="O3" s="984"/>
      <c r="P3" s="984" t="s">
        <v>227</v>
      </c>
      <c r="Q3" s="984" t="s">
        <v>189</v>
      </c>
      <c r="R3" s="984" t="s">
        <v>228</v>
      </c>
      <c r="S3" s="984" t="s">
        <v>190</v>
      </c>
      <c r="T3" s="984" t="s">
        <v>222</v>
      </c>
      <c r="U3" s="984" t="s">
        <v>223</v>
      </c>
      <c r="V3" s="984" t="s">
        <v>224</v>
      </c>
      <c r="W3" s="984" t="s">
        <v>229</v>
      </c>
      <c r="X3" s="984" t="s">
        <v>225</v>
      </c>
      <c r="Y3" s="984" t="s">
        <v>859</v>
      </c>
      <c r="Z3" s="984" t="s">
        <v>860</v>
      </c>
      <c r="AA3" s="984" t="s">
        <v>574</v>
      </c>
      <c r="AG3" s="984"/>
      <c r="AH3" s="981"/>
      <c r="AI3" s="984"/>
    </row>
    <row r="4" spans="1:35" x14ac:dyDescent="0.2">
      <c r="A4" s="984"/>
      <c r="B4" s="984" t="s">
        <v>227</v>
      </c>
      <c r="C4" s="984" t="s">
        <v>189</v>
      </c>
      <c r="D4" s="984" t="s">
        <v>228</v>
      </c>
      <c r="E4" s="984" t="s">
        <v>190</v>
      </c>
      <c r="F4" s="984" t="s">
        <v>222</v>
      </c>
      <c r="G4" s="984" t="s">
        <v>223</v>
      </c>
      <c r="H4" s="984" t="s">
        <v>224</v>
      </c>
      <c r="I4" s="984" t="s">
        <v>229</v>
      </c>
      <c r="J4" s="984" t="s">
        <v>225</v>
      </c>
      <c r="K4" s="984" t="s">
        <v>859</v>
      </c>
      <c r="L4" s="984" t="s">
        <v>860</v>
      </c>
      <c r="M4" s="984" t="s">
        <v>574</v>
      </c>
      <c r="N4" s="984"/>
      <c r="O4" s="984"/>
      <c r="P4" s="983" t="str">
        <f t="shared" ref="P4:AA4" si="0">VLOOKUP(P3,Tbl_Glob_Conversie,3,FALSE)</f>
        <v>kcal</v>
      </c>
      <c r="Q4" s="983" t="str">
        <f t="shared" si="0"/>
        <v>gram</v>
      </c>
      <c r="R4" s="983" t="str">
        <f t="shared" si="0"/>
        <v>gram</v>
      </c>
      <c r="S4" s="983" t="str">
        <f t="shared" si="0"/>
        <v>gram</v>
      </c>
      <c r="T4" s="983" t="str">
        <f t="shared" si="0"/>
        <v>mmol</v>
      </c>
      <c r="U4" s="983" t="str">
        <f t="shared" si="0"/>
        <v>mmol</v>
      </c>
      <c r="V4" s="983" t="str">
        <f t="shared" si="0"/>
        <v>mmol</v>
      </c>
      <c r="W4" s="983" t="str">
        <f t="shared" si="0"/>
        <v>mmol</v>
      </c>
      <c r="X4" s="983" t="str">
        <f t="shared" si="0"/>
        <v>mmol</v>
      </c>
      <c r="Y4" s="983" t="str">
        <f t="shared" si="0"/>
        <v>mmol</v>
      </c>
      <c r="Z4" s="983" t="str">
        <f t="shared" si="0"/>
        <v>IE</v>
      </c>
      <c r="AA4" s="983" t="str">
        <f t="shared" si="0"/>
        <v>mmol</v>
      </c>
      <c r="AG4" s="984"/>
      <c r="AH4" s="981"/>
      <c r="AI4" s="984"/>
    </row>
    <row r="5" spans="1:35" x14ac:dyDescent="0.2">
      <c r="A5" s="984"/>
      <c r="B5" s="984">
        <v>2</v>
      </c>
      <c r="C5" s="984">
        <v>3</v>
      </c>
      <c r="D5" s="984">
        <v>4</v>
      </c>
      <c r="E5" s="984">
        <v>5</v>
      </c>
      <c r="F5" s="984">
        <v>6</v>
      </c>
      <c r="G5" s="984">
        <v>7</v>
      </c>
      <c r="H5" s="984">
        <v>8</v>
      </c>
      <c r="I5" s="984">
        <v>9</v>
      </c>
      <c r="J5" s="984">
        <v>10</v>
      </c>
      <c r="K5" s="984">
        <v>11</v>
      </c>
      <c r="L5" s="984">
        <v>12</v>
      </c>
      <c r="M5" s="984">
        <v>13</v>
      </c>
      <c r="N5" s="984"/>
      <c r="O5" s="984"/>
      <c r="AG5" s="984"/>
      <c r="AH5" s="981"/>
      <c r="AI5" s="984"/>
    </row>
    <row r="6" spans="1:35" x14ac:dyDescent="0.2">
      <c r="A6" s="457" t="s">
        <v>162</v>
      </c>
      <c r="B6" s="457">
        <v>68</v>
      </c>
      <c r="C6" s="457">
        <v>1</v>
      </c>
      <c r="D6" s="986">
        <v>7.0000000000000009</v>
      </c>
      <c r="E6" s="986">
        <v>4</v>
      </c>
      <c r="F6" s="457">
        <v>20</v>
      </c>
      <c r="G6" s="457">
        <v>50.000000000000007</v>
      </c>
      <c r="H6" s="457">
        <v>30</v>
      </c>
      <c r="I6" s="457">
        <v>15</v>
      </c>
      <c r="J6" s="457">
        <v>3.0000000000000004</v>
      </c>
      <c r="K6" s="986">
        <v>0.1</v>
      </c>
      <c r="L6" s="457">
        <v>0</v>
      </c>
      <c r="M6" s="457">
        <v>43</v>
      </c>
      <c r="N6" s="984"/>
      <c r="O6" s="984" t="str">
        <f>A6</f>
        <v>MM</v>
      </c>
      <c r="P6" s="983">
        <f t="shared" ref="P6:P38" si="1">VLOOKUP(P$3,Tbl_Glob_Conversie,2,FALSE)*B6/100</f>
        <v>0.68</v>
      </c>
      <c r="Q6" s="983">
        <f t="shared" ref="Q6:Q38" si="2">VLOOKUP(Q$3,Tbl_Glob_Conversie,2,FALSE)*C6/100</f>
        <v>0.01</v>
      </c>
      <c r="R6" s="983">
        <f t="shared" ref="R6:R38" si="3">VLOOKUP(R$3,Tbl_Glob_Conversie,2,FALSE)*D6/100</f>
        <v>7.0000000000000007E-2</v>
      </c>
      <c r="S6" s="983">
        <f t="shared" ref="S6:S38" si="4">VLOOKUP(S$3,Tbl_Glob_Conversie,2,FALSE)*E6/100</f>
        <v>0.04</v>
      </c>
      <c r="T6" s="983">
        <f t="shared" ref="T6:T38" si="5">VLOOKUP(T$3,Tbl_Glob_Conversie,2,FALSE)*F6/100</f>
        <v>8.6956000000000012E-3</v>
      </c>
      <c r="U6" s="983">
        <f t="shared" ref="U6:U38" si="6">VLOOKUP(U$3,Tbl_Glob_Conversie,2,FALSE)*G6/100</f>
        <v>1.2820500000000002E-2</v>
      </c>
      <c r="V6" s="983">
        <f t="shared" ref="V6:V38" si="7">VLOOKUP(V$3,Tbl_Glob_Conversie,2,FALSE)*H6/100</f>
        <v>7.4700000000000001E-3</v>
      </c>
      <c r="W6" s="983">
        <f t="shared" ref="W6:W38" si="8">VLOOKUP(W$3,Tbl_Glob_Conversie,2,FALSE)*I6/100</f>
        <v>4.8433499999999997E-3</v>
      </c>
      <c r="X6" s="983">
        <f t="shared" ref="X6:X38" si="9">VLOOKUP(X$3,Tbl_Glob_Conversie,2,FALSE)*J6/100</f>
        <v>1.23423E-3</v>
      </c>
      <c r="Y6" s="983">
        <f t="shared" ref="Y6:Y38" si="10">VLOOKUP(Y$3,Tbl_Glob_Conversie,2,FALSE)*K6/100</f>
        <v>1.7899999999999998E-5</v>
      </c>
      <c r="Z6" s="983">
        <f t="shared" ref="Z6:Z38" si="11">VLOOKUP(Z$3,Tbl_Glob_Conversie,2,FALSE)*L6/100</f>
        <v>0</v>
      </c>
      <c r="AA6" s="983">
        <f t="shared" ref="AA6:AA38" si="12">VLOOKUP(AA$3,Tbl_Glob_Conversie,2,FALSE)*M6/100</f>
        <v>1.212858E-2</v>
      </c>
      <c r="AG6" s="984"/>
      <c r="AH6" s="981"/>
      <c r="AI6" s="984"/>
    </row>
    <row r="7" spans="1:35" x14ac:dyDescent="0.2">
      <c r="A7" s="457" t="s">
        <v>864</v>
      </c>
      <c r="B7" s="457">
        <v>80</v>
      </c>
      <c r="C7" s="457">
        <v>2.6</v>
      </c>
      <c r="D7" s="986">
        <v>8.4</v>
      </c>
      <c r="E7" s="986">
        <v>3.9</v>
      </c>
      <c r="F7" s="457">
        <v>70</v>
      </c>
      <c r="G7" s="457">
        <v>80</v>
      </c>
      <c r="H7" s="457">
        <v>100</v>
      </c>
      <c r="I7" s="457">
        <v>56</v>
      </c>
      <c r="J7" s="457">
        <v>8</v>
      </c>
      <c r="K7" s="986">
        <v>1.6</v>
      </c>
      <c r="L7" s="457">
        <v>3</v>
      </c>
      <c r="M7" s="457">
        <v>85</v>
      </c>
      <c r="N7" s="984"/>
      <c r="O7" s="984" t="str">
        <f t="shared" ref="O7:O39" si="13">A7</f>
        <v>Nutrilon Nenatal Start</v>
      </c>
      <c r="P7" s="983">
        <f t="shared" si="1"/>
        <v>0.8</v>
      </c>
      <c r="Q7" s="983">
        <f t="shared" si="2"/>
        <v>2.6000000000000002E-2</v>
      </c>
      <c r="R7" s="983">
        <f t="shared" si="3"/>
        <v>8.4000000000000005E-2</v>
      </c>
      <c r="S7" s="983">
        <f t="shared" si="4"/>
        <v>3.9E-2</v>
      </c>
      <c r="T7" s="983">
        <f t="shared" si="5"/>
        <v>3.0434599999999999E-2</v>
      </c>
      <c r="U7" s="983">
        <f t="shared" si="6"/>
        <v>2.0512800000000001E-2</v>
      </c>
      <c r="V7" s="983">
        <f t="shared" si="7"/>
        <v>2.4899999999999999E-2</v>
      </c>
      <c r="W7" s="983">
        <f t="shared" si="8"/>
        <v>1.8081839999999998E-2</v>
      </c>
      <c r="X7" s="983">
        <f t="shared" si="9"/>
        <v>3.2912799999999997E-3</v>
      </c>
      <c r="Y7" s="983">
        <f t="shared" si="10"/>
        <v>2.8639999999999997E-4</v>
      </c>
      <c r="Z7" s="983">
        <f t="shared" si="11"/>
        <v>1.2</v>
      </c>
      <c r="AA7" s="983">
        <f t="shared" si="12"/>
        <v>2.3975099999999999E-2</v>
      </c>
      <c r="AG7" s="984"/>
      <c r="AH7" s="981"/>
      <c r="AI7" s="984"/>
    </row>
    <row r="8" spans="1:35" x14ac:dyDescent="0.2">
      <c r="A8" s="457" t="s">
        <v>865</v>
      </c>
      <c r="B8" s="457">
        <v>75</v>
      </c>
      <c r="C8" s="457">
        <v>2</v>
      </c>
      <c r="D8" s="986">
        <v>7.5</v>
      </c>
      <c r="E8" s="986">
        <v>4</v>
      </c>
      <c r="F8" s="457">
        <v>28</v>
      </c>
      <c r="G8" s="457">
        <v>77</v>
      </c>
      <c r="H8" s="457">
        <v>87</v>
      </c>
      <c r="I8" s="457">
        <v>47</v>
      </c>
      <c r="J8" s="457">
        <v>7</v>
      </c>
      <c r="K8" s="986">
        <v>1.2</v>
      </c>
      <c r="L8" s="457">
        <v>1.7</v>
      </c>
      <c r="M8" s="457">
        <v>55</v>
      </c>
      <c r="N8" s="984"/>
      <c r="O8" s="984" t="str">
        <f t="shared" si="13"/>
        <v>Nutrilon Nenatal 1</v>
      </c>
      <c r="P8" s="983">
        <f t="shared" si="1"/>
        <v>0.75</v>
      </c>
      <c r="Q8" s="983">
        <f t="shared" si="2"/>
        <v>0.02</v>
      </c>
      <c r="R8" s="983">
        <f t="shared" si="3"/>
        <v>7.4999999999999997E-2</v>
      </c>
      <c r="S8" s="983">
        <f t="shared" si="4"/>
        <v>0.04</v>
      </c>
      <c r="T8" s="983">
        <f t="shared" si="5"/>
        <v>1.217384E-2</v>
      </c>
      <c r="U8" s="983">
        <f t="shared" si="6"/>
        <v>1.9743570000000002E-2</v>
      </c>
      <c r="V8" s="983">
        <f t="shared" si="7"/>
        <v>2.1662999999999998E-2</v>
      </c>
      <c r="W8" s="983">
        <f t="shared" si="8"/>
        <v>1.517583E-2</v>
      </c>
      <c r="X8" s="983">
        <f t="shared" si="9"/>
        <v>2.8798700000000001E-3</v>
      </c>
      <c r="Y8" s="983">
        <f t="shared" si="10"/>
        <v>2.1479999999999999E-4</v>
      </c>
      <c r="Z8" s="983">
        <f t="shared" si="11"/>
        <v>0.68</v>
      </c>
      <c r="AA8" s="983">
        <f t="shared" si="12"/>
        <v>1.5513299999999999E-2</v>
      </c>
    </row>
    <row r="9" spans="1:35" x14ac:dyDescent="0.2">
      <c r="A9" s="457" t="s">
        <v>866</v>
      </c>
      <c r="B9" s="987">
        <v>66</v>
      </c>
      <c r="C9" s="987">
        <v>1.5</v>
      </c>
      <c r="D9" s="988">
        <v>7.2</v>
      </c>
      <c r="E9" s="988">
        <v>3.4</v>
      </c>
      <c r="F9" s="987">
        <v>25</v>
      </c>
      <c r="G9" s="987">
        <v>73</v>
      </c>
      <c r="H9" s="987">
        <v>46</v>
      </c>
      <c r="I9" s="987">
        <v>26</v>
      </c>
      <c r="J9" s="987">
        <v>5.0999999999999996</v>
      </c>
      <c r="K9" s="989">
        <v>0.53</v>
      </c>
      <c r="L9" s="987">
        <v>1.2</v>
      </c>
      <c r="M9" s="457">
        <v>41</v>
      </c>
      <c r="N9" s="984"/>
      <c r="O9" s="984" t="str">
        <f t="shared" si="13"/>
        <v>Nutrilon Hypoallergeen 1</v>
      </c>
      <c r="P9" s="983">
        <f t="shared" si="1"/>
        <v>0.66</v>
      </c>
      <c r="Q9" s="983">
        <f t="shared" si="2"/>
        <v>1.4999999999999999E-2</v>
      </c>
      <c r="R9" s="983">
        <f t="shared" si="3"/>
        <v>7.2000000000000008E-2</v>
      </c>
      <c r="S9" s="983">
        <f t="shared" si="4"/>
        <v>3.4000000000000002E-2</v>
      </c>
      <c r="T9" s="983">
        <f t="shared" si="5"/>
        <v>1.0869500000000001E-2</v>
      </c>
      <c r="U9" s="983">
        <f t="shared" si="6"/>
        <v>1.8717930000000001E-2</v>
      </c>
      <c r="V9" s="983">
        <f t="shared" si="7"/>
        <v>1.1453999999999999E-2</v>
      </c>
      <c r="W9" s="983">
        <f t="shared" si="8"/>
        <v>8.3951400000000006E-3</v>
      </c>
      <c r="X9" s="983">
        <f t="shared" si="9"/>
        <v>2.0981909999999997E-3</v>
      </c>
      <c r="Y9" s="983">
        <f t="shared" si="10"/>
        <v>9.4870000000000005E-5</v>
      </c>
      <c r="Z9" s="983">
        <f t="shared" si="11"/>
        <v>0.48</v>
      </c>
      <c r="AA9" s="983">
        <f t="shared" si="12"/>
        <v>1.1564459999999999E-2</v>
      </c>
    </row>
    <row r="10" spans="1:35" x14ac:dyDescent="0.2">
      <c r="A10" s="457" t="s">
        <v>577</v>
      </c>
      <c r="B10" s="457">
        <v>66</v>
      </c>
      <c r="C10" s="457">
        <v>1.3</v>
      </c>
      <c r="D10" s="986">
        <v>7.3</v>
      </c>
      <c r="E10" s="986">
        <v>3.4</v>
      </c>
      <c r="F10" s="457">
        <v>17</v>
      </c>
      <c r="G10" s="457">
        <v>68</v>
      </c>
      <c r="H10" s="457">
        <v>57</v>
      </c>
      <c r="I10" s="457">
        <v>32</v>
      </c>
      <c r="J10" s="457">
        <v>5.0999999999999996</v>
      </c>
      <c r="K10" s="986">
        <v>3.9</v>
      </c>
      <c r="L10" s="457">
        <v>8.6999999999999993</v>
      </c>
      <c r="M10" s="457">
        <v>42</v>
      </c>
      <c r="N10" s="984"/>
      <c r="O10" s="984" t="str">
        <f t="shared" si="13"/>
        <v>Nutrilon Standaard 1</v>
      </c>
      <c r="P10" s="983">
        <f t="shared" si="1"/>
        <v>0.66</v>
      </c>
      <c r="Q10" s="983">
        <f t="shared" si="2"/>
        <v>1.3000000000000001E-2</v>
      </c>
      <c r="R10" s="983">
        <f t="shared" si="3"/>
        <v>7.2999999999999995E-2</v>
      </c>
      <c r="S10" s="983">
        <f t="shared" si="4"/>
        <v>3.4000000000000002E-2</v>
      </c>
      <c r="T10" s="983">
        <f t="shared" si="5"/>
        <v>7.3912600000000002E-3</v>
      </c>
      <c r="U10" s="983">
        <f t="shared" si="6"/>
        <v>1.7435880000000001E-2</v>
      </c>
      <c r="V10" s="983">
        <f t="shared" si="7"/>
        <v>1.4193000000000001E-2</v>
      </c>
      <c r="W10" s="983">
        <f t="shared" si="8"/>
        <v>1.033248E-2</v>
      </c>
      <c r="X10" s="983">
        <f t="shared" si="9"/>
        <v>2.0981909999999997E-3</v>
      </c>
      <c r="Y10" s="983">
        <f t="shared" si="10"/>
        <v>6.981E-4</v>
      </c>
      <c r="Z10" s="983">
        <f t="shared" si="11"/>
        <v>3.48</v>
      </c>
      <c r="AA10" s="983">
        <f t="shared" si="12"/>
        <v>1.1846520000000001E-2</v>
      </c>
    </row>
    <row r="11" spans="1:35" x14ac:dyDescent="0.2">
      <c r="A11" s="457" t="s">
        <v>929</v>
      </c>
      <c r="B11" s="457">
        <v>68</v>
      </c>
      <c r="C11" s="457">
        <v>1.4</v>
      </c>
      <c r="D11" s="986">
        <v>8.6</v>
      </c>
      <c r="E11" s="986">
        <v>3</v>
      </c>
      <c r="F11" s="457">
        <v>23</v>
      </c>
      <c r="G11" s="457">
        <v>74</v>
      </c>
      <c r="H11" s="457">
        <v>65</v>
      </c>
      <c r="I11" s="457">
        <v>36</v>
      </c>
      <c r="J11" s="457">
        <v>4.8</v>
      </c>
      <c r="K11" s="986">
        <v>7</v>
      </c>
      <c r="L11" s="457">
        <v>1.4</v>
      </c>
      <c r="M11" s="457">
        <v>47</v>
      </c>
      <c r="N11" s="984"/>
      <c r="O11" s="984" t="str">
        <f t="shared" si="13"/>
        <v>Nutrilon Standaard 2</v>
      </c>
      <c r="P11" s="983">
        <f t="shared" si="1"/>
        <v>0.68</v>
      </c>
      <c r="Q11" s="983">
        <f t="shared" si="2"/>
        <v>1.3999999999999999E-2</v>
      </c>
      <c r="R11" s="983">
        <f t="shared" si="3"/>
        <v>8.5999999999999993E-2</v>
      </c>
      <c r="S11" s="983">
        <f t="shared" si="4"/>
        <v>0.03</v>
      </c>
      <c r="T11" s="983">
        <f t="shared" si="5"/>
        <v>9.9999400000000006E-3</v>
      </c>
      <c r="U11" s="983">
        <f t="shared" si="6"/>
        <v>1.8974339999999999E-2</v>
      </c>
      <c r="V11" s="983">
        <f t="shared" si="7"/>
        <v>1.6184999999999998E-2</v>
      </c>
      <c r="W11" s="983">
        <f t="shared" si="8"/>
        <v>1.162404E-2</v>
      </c>
      <c r="X11" s="983">
        <f t="shared" si="9"/>
        <v>1.974768E-3</v>
      </c>
      <c r="Y11" s="983">
        <f t="shared" si="10"/>
        <v>1.253E-3</v>
      </c>
      <c r="Z11" s="983">
        <f t="shared" si="11"/>
        <v>0.56000000000000005</v>
      </c>
      <c r="AA11" s="983">
        <f t="shared" si="12"/>
        <v>1.3256820000000001E-2</v>
      </c>
    </row>
    <row r="12" spans="1:35" x14ac:dyDescent="0.2">
      <c r="A12" s="457" t="s">
        <v>17</v>
      </c>
      <c r="B12" s="457">
        <v>100</v>
      </c>
      <c r="C12" s="457">
        <v>2.6</v>
      </c>
      <c r="D12" s="986">
        <v>10.3</v>
      </c>
      <c r="E12" s="986">
        <v>5.4</v>
      </c>
      <c r="F12" s="457">
        <v>37</v>
      </c>
      <c r="G12" s="457">
        <v>95</v>
      </c>
      <c r="H12" s="457">
        <v>100</v>
      </c>
      <c r="I12" s="457">
        <v>50</v>
      </c>
      <c r="J12" s="457">
        <v>9</v>
      </c>
      <c r="K12" s="986">
        <v>1.2</v>
      </c>
      <c r="L12" s="457">
        <v>1.9</v>
      </c>
      <c r="M12" s="457">
        <v>62</v>
      </c>
      <c r="N12" s="984"/>
      <c r="O12" s="984" t="str">
        <f t="shared" si="13"/>
        <v>Infatrini</v>
      </c>
      <c r="P12" s="983">
        <f t="shared" si="1"/>
        <v>1</v>
      </c>
      <c r="Q12" s="983">
        <f t="shared" si="2"/>
        <v>2.6000000000000002E-2</v>
      </c>
      <c r="R12" s="983">
        <f t="shared" si="3"/>
        <v>0.10300000000000001</v>
      </c>
      <c r="S12" s="983">
        <f t="shared" si="4"/>
        <v>5.4000000000000006E-2</v>
      </c>
      <c r="T12" s="983">
        <f t="shared" si="5"/>
        <v>1.6086860000000001E-2</v>
      </c>
      <c r="U12" s="983">
        <f t="shared" si="6"/>
        <v>2.4358950000000001E-2</v>
      </c>
      <c r="V12" s="983">
        <f t="shared" si="7"/>
        <v>2.4899999999999999E-2</v>
      </c>
      <c r="W12" s="983">
        <f t="shared" si="8"/>
        <v>1.6144499999999999E-2</v>
      </c>
      <c r="X12" s="983">
        <f t="shared" si="9"/>
        <v>3.7026899999999998E-3</v>
      </c>
      <c r="Y12" s="983">
        <f t="shared" si="10"/>
        <v>2.1479999999999999E-4</v>
      </c>
      <c r="Z12" s="983">
        <f t="shared" si="11"/>
        <v>0.76</v>
      </c>
      <c r="AA12" s="983">
        <f t="shared" si="12"/>
        <v>1.7487719999999998E-2</v>
      </c>
    </row>
    <row r="13" spans="1:35" x14ac:dyDescent="0.2">
      <c r="A13" s="457" t="s">
        <v>946</v>
      </c>
      <c r="B13" s="457">
        <v>100</v>
      </c>
      <c r="C13" s="457">
        <v>2.6</v>
      </c>
      <c r="D13" s="986">
        <v>10.3</v>
      </c>
      <c r="E13" s="986">
        <v>5.4</v>
      </c>
      <c r="F13" s="457">
        <v>32</v>
      </c>
      <c r="G13" s="457">
        <v>108</v>
      </c>
      <c r="H13" s="457">
        <v>80</v>
      </c>
      <c r="I13" s="457">
        <v>40</v>
      </c>
      <c r="J13" s="457">
        <v>8</v>
      </c>
      <c r="K13" s="986">
        <v>1</v>
      </c>
      <c r="L13" s="457">
        <v>1.7</v>
      </c>
      <c r="M13" s="457">
        <v>64</v>
      </c>
      <c r="N13" s="984"/>
      <c r="O13" s="984" t="str">
        <f t="shared" si="13"/>
        <v>Infatrini Peptisorb</v>
      </c>
      <c r="P13" s="983">
        <f t="shared" si="1"/>
        <v>1</v>
      </c>
      <c r="Q13" s="983">
        <f t="shared" si="2"/>
        <v>2.6000000000000002E-2</v>
      </c>
      <c r="R13" s="983">
        <f t="shared" si="3"/>
        <v>0.10300000000000001</v>
      </c>
      <c r="S13" s="983">
        <f t="shared" si="4"/>
        <v>5.4000000000000006E-2</v>
      </c>
      <c r="T13" s="983">
        <f t="shared" si="5"/>
        <v>1.391296E-2</v>
      </c>
      <c r="U13" s="983">
        <f t="shared" si="6"/>
        <v>2.769228E-2</v>
      </c>
      <c r="V13" s="983">
        <f t="shared" si="7"/>
        <v>1.992E-2</v>
      </c>
      <c r="W13" s="983">
        <f t="shared" si="8"/>
        <v>1.2915600000000001E-2</v>
      </c>
      <c r="X13" s="983">
        <f t="shared" si="9"/>
        <v>3.2912799999999997E-3</v>
      </c>
      <c r="Y13" s="983">
        <f t="shared" si="10"/>
        <v>1.7899999999999999E-4</v>
      </c>
      <c r="Z13" s="983">
        <f t="shared" si="11"/>
        <v>0.68</v>
      </c>
      <c r="AA13" s="983">
        <f t="shared" si="12"/>
        <v>1.805184E-2</v>
      </c>
    </row>
    <row r="14" spans="1:35" x14ac:dyDescent="0.2">
      <c r="A14" s="457" t="s">
        <v>941</v>
      </c>
      <c r="B14" s="457">
        <v>67</v>
      </c>
      <c r="C14" s="457">
        <v>1.6</v>
      </c>
      <c r="D14" s="986">
        <v>7</v>
      </c>
      <c r="E14" s="986">
        <v>3.5</v>
      </c>
      <c r="F14" s="457">
        <v>20</v>
      </c>
      <c r="G14" s="457">
        <v>81</v>
      </c>
      <c r="H14" s="457">
        <v>47</v>
      </c>
      <c r="I14" s="457">
        <v>26</v>
      </c>
      <c r="J14" s="457">
        <v>5.3</v>
      </c>
      <c r="K14" s="989">
        <v>0.53</v>
      </c>
      <c r="L14" s="457">
        <v>1.3</v>
      </c>
      <c r="M14" s="457">
        <v>40</v>
      </c>
      <c r="N14" s="984"/>
      <c r="O14" s="984" t="str">
        <f t="shared" si="13"/>
        <v>Nutrilon Pepti 1</v>
      </c>
      <c r="P14" s="983">
        <f t="shared" si="1"/>
        <v>0.67</v>
      </c>
      <c r="Q14" s="983">
        <f t="shared" si="2"/>
        <v>1.6E-2</v>
      </c>
      <c r="R14" s="983">
        <f t="shared" si="3"/>
        <v>7.0000000000000007E-2</v>
      </c>
      <c r="S14" s="983">
        <f t="shared" si="4"/>
        <v>3.5000000000000003E-2</v>
      </c>
      <c r="T14" s="983">
        <f t="shared" si="5"/>
        <v>8.6956000000000012E-3</v>
      </c>
      <c r="U14" s="983">
        <f t="shared" si="6"/>
        <v>2.076921E-2</v>
      </c>
      <c r="V14" s="983">
        <f t="shared" si="7"/>
        <v>1.1702999999999998E-2</v>
      </c>
      <c r="W14" s="983">
        <f t="shared" si="8"/>
        <v>8.3951400000000006E-3</v>
      </c>
      <c r="X14" s="983">
        <f t="shared" si="9"/>
        <v>2.1804729999999996E-3</v>
      </c>
      <c r="Y14" s="983">
        <f t="shared" si="10"/>
        <v>9.4870000000000005E-5</v>
      </c>
      <c r="Z14" s="983">
        <f t="shared" si="11"/>
        <v>0.52</v>
      </c>
      <c r="AA14" s="983">
        <f t="shared" si="12"/>
        <v>1.12824E-2</v>
      </c>
    </row>
    <row r="15" spans="1:35" x14ac:dyDescent="0.2">
      <c r="A15" s="457" t="s">
        <v>476</v>
      </c>
      <c r="B15" s="457">
        <v>101</v>
      </c>
      <c r="C15" s="457">
        <v>2.7</v>
      </c>
      <c r="D15" s="986">
        <v>12.3</v>
      </c>
      <c r="E15" s="986">
        <v>4.4000000000000004</v>
      </c>
      <c r="F15" s="457">
        <v>60</v>
      </c>
      <c r="G15" s="457">
        <v>110</v>
      </c>
      <c r="H15" s="457">
        <v>60</v>
      </c>
      <c r="I15" s="457">
        <v>50</v>
      </c>
      <c r="J15" s="457">
        <v>11</v>
      </c>
      <c r="K15" s="990">
        <v>1</v>
      </c>
      <c r="L15" s="457">
        <v>1</v>
      </c>
      <c r="M15" s="457">
        <v>95</v>
      </c>
      <c r="N15" s="984"/>
      <c r="O15" s="984" t="str">
        <f t="shared" si="13"/>
        <v>Nutrini Multi Fibre</v>
      </c>
      <c r="P15" s="983">
        <f t="shared" si="1"/>
        <v>1.01</v>
      </c>
      <c r="Q15" s="983">
        <f t="shared" si="2"/>
        <v>2.7000000000000003E-2</v>
      </c>
      <c r="R15" s="983">
        <f t="shared" si="3"/>
        <v>0.12300000000000001</v>
      </c>
      <c r="S15" s="983">
        <f t="shared" si="4"/>
        <v>4.4000000000000004E-2</v>
      </c>
      <c r="T15" s="983">
        <f t="shared" si="5"/>
        <v>2.60868E-2</v>
      </c>
      <c r="U15" s="983">
        <f t="shared" si="6"/>
        <v>2.82051E-2</v>
      </c>
      <c r="V15" s="983">
        <f t="shared" si="7"/>
        <v>1.494E-2</v>
      </c>
      <c r="W15" s="983">
        <f t="shared" si="8"/>
        <v>1.6144499999999999E-2</v>
      </c>
      <c r="X15" s="983">
        <f t="shared" si="9"/>
        <v>4.5255099999999999E-3</v>
      </c>
      <c r="Y15" s="983">
        <f t="shared" si="10"/>
        <v>1.7899999999999999E-4</v>
      </c>
      <c r="Z15" s="983">
        <f t="shared" si="11"/>
        <v>0.4</v>
      </c>
      <c r="AA15" s="983">
        <f t="shared" si="12"/>
        <v>2.6795699999999999E-2</v>
      </c>
    </row>
    <row r="16" spans="1:35" x14ac:dyDescent="0.2">
      <c r="A16" s="457" t="s">
        <v>477</v>
      </c>
      <c r="B16" s="457">
        <v>151</v>
      </c>
      <c r="C16" s="457">
        <v>4</v>
      </c>
      <c r="D16" s="986">
        <v>18.5</v>
      </c>
      <c r="E16" s="986">
        <v>6.7</v>
      </c>
      <c r="F16" s="457">
        <v>90</v>
      </c>
      <c r="G16" s="457">
        <v>165</v>
      </c>
      <c r="H16" s="457">
        <v>90</v>
      </c>
      <c r="I16" s="457">
        <v>75</v>
      </c>
      <c r="J16" s="457">
        <v>17</v>
      </c>
      <c r="K16" s="986">
        <v>1.5</v>
      </c>
      <c r="L16" s="457">
        <v>1.5</v>
      </c>
      <c r="M16" s="457">
        <v>143</v>
      </c>
      <c r="N16" s="984"/>
      <c r="O16" s="984" t="str">
        <f t="shared" si="13"/>
        <v>Nutrini Energy Multi Fibre</v>
      </c>
      <c r="P16" s="983">
        <f t="shared" si="1"/>
        <v>1.51</v>
      </c>
      <c r="Q16" s="983">
        <f t="shared" si="2"/>
        <v>0.04</v>
      </c>
      <c r="R16" s="983">
        <f t="shared" si="3"/>
        <v>0.185</v>
      </c>
      <c r="S16" s="983">
        <f t="shared" si="4"/>
        <v>6.7000000000000004E-2</v>
      </c>
      <c r="T16" s="983">
        <f t="shared" si="5"/>
        <v>3.9130200000000004E-2</v>
      </c>
      <c r="U16" s="983">
        <f t="shared" si="6"/>
        <v>4.2307650000000002E-2</v>
      </c>
      <c r="V16" s="983">
        <f t="shared" si="7"/>
        <v>2.2409999999999996E-2</v>
      </c>
      <c r="W16" s="983">
        <f t="shared" si="8"/>
        <v>2.4216749999999999E-2</v>
      </c>
      <c r="X16" s="983">
        <f t="shared" si="9"/>
        <v>6.9939699999999995E-3</v>
      </c>
      <c r="Y16" s="983">
        <f t="shared" si="10"/>
        <v>2.6849999999999997E-4</v>
      </c>
      <c r="Z16" s="983">
        <f t="shared" si="11"/>
        <v>0.6</v>
      </c>
      <c r="AA16" s="983">
        <f t="shared" si="12"/>
        <v>4.0334579999999995E-2</v>
      </c>
    </row>
    <row r="17" spans="1:27" x14ac:dyDescent="0.2">
      <c r="A17" s="457" t="s">
        <v>947</v>
      </c>
      <c r="B17" s="457">
        <v>100</v>
      </c>
      <c r="C17" s="457">
        <v>2.8</v>
      </c>
      <c r="D17" s="986">
        <v>13.7</v>
      </c>
      <c r="E17" s="986">
        <v>3.9</v>
      </c>
      <c r="F17" s="457">
        <v>60</v>
      </c>
      <c r="G17" s="457">
        <v>110</v>
      </c>
      <c r="H17" s="457">
        <v>60</v>
      </c>
      <c r="I17" s="457">
        <v>50</v>
      </c>
      <c r="J17" s="457">
        <v>11</v>
      </c>
      <c r="K17" s="990">
        <v>1</v>
      </c>
      <c r="L17" s="990">
        <v>1</v>
      </c>
      <c r="M17" s="457">
        <v>95</v>
      </c>
      <c r="N17" s="984"/>
      <c r="O17" s="984" t="str">
        <f t="shared" si="13"/>
        <v>Nutrini Peptisorb</v>
      </c>
      <c r="P17" s="983">
        <f t="shared" si="1"/>
        <v>1</v>
      </c>
      <c r="Q17" s="983">
        <f t="shared" si="2"/>
        <v>2.7999999999999997E-2</v>
      </c>
      <c r="R17" s="983">
        <f t="shared" si="3"/>
        <v>0.13699999999999998</v>
      </c>
      <c r="S17" s="983">
        <f t="shared" si="4"/>
        <v>3.9E-2</v>
      </c>
      <c r="T17" s="983">
        <f t="shared" si="5"/>
        <v>2.60868E-2</v>
      </c>
      <c r="U17" s="983">
        <f t="shared" si="6"/>
        <v>2.82051E-2</v>
      </c>
      <c r="V17" s="983">
        <f t="shared" si="7"/>
        <v>1.494E-2</v>
      </c>
      <c r="W17" s="983">
        <f t="shared" si="8"/>
        <v>1.6144499999999999E-2</v>
      </c>
      <c r="X17" s="983">
        <f t="shared" si="9"/>
        <v>4.5255099999999999E-3</v>
      </c>
      <c r="Y17" s="983">
        <f t="shared" si="10"/>
        <v>1.7899999999999999E-4</v>
      </c>
      <c r="Z17" s="983">
        <f t="shared" si="11"/>
        <v>0.4</v>
      </c>
      <c r="AA17" s="983">
        <f t="shared" si="12"/>
        <v>2.6795699999999999E-2</v>
      </c>
    </row>
    <row r="18" spans="1:27" x14ac:dyDescent="0.2">
      <c r="A18" s="457" t="s">
        <v>959</v>
      </c>
      <c r="B18" s="457">
        <v>68</v>
      </c>
      <c r="C18" s="457">
        <v>1.6</v>
      </c>
      <c r="D18" s="986">
        <v>8.1</v>
      </c>
      <c r="E18" s="986">
        <v>3.1</v>
      </c>
      <c r="F18" s="457">
        <v>25</v>
      </c>
      <c r="G18" s="457">
        <v>78</v>
      </c>
      <c r="H18" s="457">
        <v>63</v>
      </c>
      <c r="I18" s="457">
        <v>37</v>
      </c>
      <c r="J18" s="457">
        <v>5.5</v>
      </c>
      <c r="K18" s="986">
        <v>1</v>
      </c>
      <c r="L18" s="457">
        <v>1.4</v>
      </c>
      <c r="M18" s="457">
        <v>42</v>
      </c>
      <c r="N18" s="984"/>
      <c r="O18" s="984" t="str">
        <f t="shared" si="13"/>
        <v>Nutrilon Pepti 2</v>
      </c>
      <c r="P18" s="983">
        <f t="shared" si="1"/>
        <v>0.68</v>
      </c>
      <c r="Q18" s="983">
        <f t="shared" si="2"/>
        <v>1.6E-2</v>
      </c>
      <c r="R18" s="983">
        <f t="shared" si="3"/>
        <v>8.1000000000000003E-2</v>
      </c>
      <c r="S18" s="983">
        <f t="shared" si="4"/>
        <v>3.1E-2</v>
      </c>
      <c r="T18" s="983">
        <f t="shared" si="5"/>
        <v>1.0869500000000001E-2</v>
      </c>
      <c r="U18" s="983">
        <f t="shared" si="6"/>
        <v>1.9999980000000001E-2</v>
      </c>
      <c r="V18" s="983">
        <f t="shared" si="7"/>
        <v>1.5687E-2</v>
      </c>
      <c r="W18" s="983">
        <f t="shared" si="8"/>
        <v>1.194693E-2</v>
      </c>
      <c r="X18" s="983">
        <f t="shared" si="9"/>
        <v>2.262755E-3</v>
      </c>
      <c r="Y18" s="983">
        <f t="shared" si="10"/>
        <v>1.7899999999999999E-4</v>
      </c>
      <c r="Z18" s="983">
        <f t="shared" si="11"/>
        <v>0.56000000000000005</v>
      </c>
      <c r="AA18" s="983">
        <f t="shared" si="12"/>
        <v>1.1846520000000001E-2</v>
      </c>
    </row>
    <row r="19" spans="1:27" x14ac:dyDescent="0.2">
      <c r="A19" s="457" t="s">
        <v>479</v>
      </c>
      <c r="B19" s="457">
        <v>102</v>
      </c>
      <c r="C19" s="457">
        <v>3.3</v>
      </c>
      <c r="D19" s="986">
        <v>12.3</v>
      </c>
      <c r="E19" s="986">
        <v>4.2</v>
      </c>
      <c r="F19" s="457">
        <v>80</v>
      </c>
      <c r="G19" s="457">
        <v>138</v>
      </c>
      <c r="H19" s="457">
        <v>70</v>
      </c>
      <c r="I19" s="457">
        <v>60</v>
      </c>
      <c r="J19" s="457">
        <v>17</v>
      </c>
      <c r="K19" s="986">
        <v>1.3</v>
      </c>
      <c r="L19" s="457">
        <v>0.7</v>
      </c>
      <c r="M19" s="457">
        <v>125</v>
      </c>
      <c r="N19" s="984"/>
      <c r="O19" s="984" t="str">
        <f t="shared" si="13"/>
        <v>NutriniMax Multi Fibre</v>
      </c>
      <c r="P19" s="983">
        <f t="shared" si="1"/>
        <v>1.02</v>
      </c>
      <c r="Q19" s="983">
        <f t="shared" si="2"/>
        <v>3.3000000000000002E-2</v>
      </c>
      <c r="R19" s="983">
        <f t="shared" si="3"/>
        <v>0.12300000000000001</v>
      </c>
      <c r="S19" s="983">
        <f t="shared" si="4"/>
        <v>4.2000000000000003E-2</v>
      </c>
      <c r="T19" s="983">
        <f t="shared" si="5"/>
        <v>3.4782400000000005E-2</v>
      </c>
      <c r="U19" s="983">
        <f t="shared" si="6"/>
        <v>3.5384579999999999E-2</v>
      </c>
      <c r="V19" s="983">
        <f t="shared" si="7"/>
        <v>1.7429999999999998E-2</v>
      </c>
      <c r="W19" s="983">
        <f t="shared" si="8"/>
        <v>1.9373399999999999E-2</v>
      </c>
      <c r="X19" s="983">
        <f t="shared" si="9"/>
        <v>6.9939699999999995E-3</v>
      </c>
      <c r="Y19" s="983">
        <f t="shared" si="10"/>
        <v>2.3269999999999999E-4</v>
      </c>
      <c r="Z19" s="983">
        <f t="shared" si="11"/>
        <v>0.28000000000000003</v>
      </c>
      <c r="AA19" s="983">
        <f t="shared" si="12"/>
        <v>3.5257499999999997E-2</v>
      </c>
    </row>
    <row r="20" spans="1:27" x14ac:dyDescent="0.2">
      <c r="A20" s="457" t="s">
        <v>480</v>
      </c>
      <c r="B20" s="457">
        <v>152</v>
      </c>
      <c r="C20" s="457">
        <v>4.8</v>
      </c>
      <c r="D20" s="986">
        <v>18.5</v>
      </c>
      <c r="E20" s="986">
        <v>6.3</v>
      </c>
      <c r="F20" s="457">
        <v>107</v>
      </c>
      <c r="G20" s="457">
        <v>186</v>
      </c>
      <c r="H20" s="457">
        <v>95</v>
      </c>
      <c r="I20" s="457">
        <v>90</v>
      </c>
      <c r="J20" s="457">
        <v>26</v>
      </c>
      <c r="K20" s="986">
        <v>2</v>
      </c>
      <c r="L20" s="457">
        <v>1.1000000000000001</v>
      </c>
      <c r="M20" s="457">
        <v>147</v>
      </c>
      <c r="N20" s="984"/>
      <c r="O20" s="984" t="str">
        <f t="shared" si="13"/>
        <v>NutriniMax Energy Multi Fibre</v>
      </c>
      <c r="P20" s="983">
        <f t="shared" si="1"/>
        <v>1.52</v>
      </c>
      <c r="Q20" s="983">
        <f t="shared" si="2"/>
        <v>4.8000000000000001E-2</v>
      </c>
      <c r="R20" s="983">
        <f t="shared" si="3"/>
        <v>0.185</v>
      </c>
      <c r="S20" s="983">
        <f t="shared" si="4"/>
        <v>6.3E-2</v>
      </c>
      <c r="T20" s="983">
        <f t="shared" si="5"/>
        <v>4.6521460000000001E-2</v>
      </c>
      <c r="U20" s="983">
        <f t="shared" si="6"/>
        <v>4.769226E-2</v>
      </c>
      <c r="V20" s="983">
        <f t="shared" si="7"/>
        <v>2.3654999999999999E-2</v>
      </c>
      <c r="W20" s="983">
        <f t="shared" si="8"/>
        <v>2.9060099999999998E-2</v>
      </c>
      <c r="X20" s="983">
        <f t="shared" si="9"/>
        <v>1.069666E-2</v>
      </c>
      <c r="Y20" s="983">
        <f t="shared" si="10"/>
        <v>3.5799999999999997E-4</v>
      </c>
      <c r="Z20" s="983">
        <f t="shared" si="11"/>
        <v>0.44</v>
      </c>
      <c r="AA20" s="983">
        <f t="shared" si="12"/>
        <v>4.1462819999999991E-2</v>
      </c>
    </row>
    <row r="21" spans="1:27" x14ac:dyDescent="0.2">
      <c r="A21" s="457" t="s">
        <v>482</v>
      </c>
      <c r="B21" s="457">
        <v>103</v>
      </c>
      <c r="C21" s="457">
        <v>4</v>
      </c>
      <c r="D21" s="986">
        <v>12.3</v>
      </c>
      <c r="E21" s="986">
        <v>3.9</v>
      </c>
      <c r="F21" s="457">
        <v>100</v>
      </c>
      <c r="G21" s="457">
        <v>150</v>
      </c>
      <c r="H21" s="457">
        <v>80</v>
      </c>
      <c r="I21" s="457">
        <v>72</v>
      </c>
      <c r="J21" s="457">
        <v>23</v>
      </c>
      <c r="K21" s="988">
        <v>1.6</v>
      </c>
      <c r="L21" s="987">
        <v>1</v>
      </c>
      <c r="M21" s="457">
        <v>125</v>
      </c>
      <c r="N21" s="984"/>
      <c r="O21" s="984" t="str">
        <f t="shared" si="13"/>
        <v>Nutrison Multi Fibre</v>
      </c>
      <c r="P21" s="983">
        <f t="shared" si="1"/>
        <v>1.03</v>
      </c>
      <c r="Q21" s="983">
        <f t="shared" si="2"/>
        <v>0.04</v>
      </c>
      <c r="R21" s="983">
        <f t="shared" si="3"/>
        <v>0.12300000000000001</v>
      </c>
      <c r="S21" s="983">
        <f t="shared" si="4"/>
        <v>3.9E-2</v>
      </c>
      <c r="T21" s="983">
        <f t="shared" si="5"/>
        <v>4.3478000000000003E-2</v>
      </c>
      <c r="U21" s="983">
        <f t="shared" si="6"/>
        <v>3.8461500000000003E-2</v>
      </c>
      <c r="V21" s="983">
        <f t="shared" si="7"/>
        <v>1.992E-2</v>
      </c>
      <c r="W21" s="983">
        <f t="shared" si="8"/>
        <v>2.3248080000000001E-2</v>
      </c>
      <c r="X21" s="983">
        <f t="shared" si="9"/>
        <v>9.4624299999999991E-3</v>
      </c>
      <c r="Y21" s="983">
        <f t="shared" si="10"/>
        <v>2.8639999999999997E-4</v>
      </c>
      <c r="Z21" s="983">
        <f t="shared" si="11"/>
        <v>0.4</v>
      </c>
      <c r="AA21" s="983">
        <f t="shared" si="12"/>
        <v>3.5257499999999997E-2</v>
      </c>
    </row>
    <row r="22" spans="1:27" x14ac:dyDescent="0.2">
      <c r="A22" s="457" t="s">
        <v>483</v>
      </c>
      <c r="B22" s="457">
        <v>153</v>
      </c>
      <c r="C22" s="457">
        <v>6</v>
      </c>
      <c r="D22" s="986">
        <v>18.399999999999999</v>
      </c>
      <c r="E22" s="986">
        <v>5.8</v>
      </c>
      <c r="F22" s="457">
        <v>134</v>
      </c>
      <c r="G22" s="457">
        <v>201</v>
      </c>
      <c r="H22" s="457">
        <v>84</v>
      </c>
      <c r="I22" s="457">
        <v>84</v>
      </c>
      <c r="J22" s="457">
        <v>30</v>
      </c>
      <c r="K22" s="988">
        <v>2.4</v>
      </c>
      <c r="L22" s="987">
        <v>1.5</v>
      </c>
      <c r="M22" s="457">
        <v>100</v>
      </c>
      <c r="N22" s="984"/>
      <c r="O22" s="984" t="str">
        <f t="shared" si="13"/>
        <v>Nutrison Energy Multi Fibre</v>
      </c>
      <c r="P22" s="983">
        <f t="shared" si="1"/>
        <v>1.53</v>
      </c>
      <c r="Q22" s="983">
        <f t="shared" si="2"/>
        <v>0.06</v>
      </c>
      <c r="R22" s="983">
        <f t="shared" si="3"/>
        <v>0.184</v>
      </c>
      <c r="S22" s="983">
        <f t="shared" si="4"/>
        <v>5.7999999999999996E-2</v>
      </c>
      <c r="T22" s="983">
        <f t="shared" si="5"/>
        <v>5.826052000000001E-2</v>
      </c>
      <c r="U22" s="983">
        <f t="shared" si="6"/>
        <v>5.153841E-2</v>
      </c>
      <c r="V22" s="983">
        <f t="shared" si="7"/>
        <v>2.0915999999999997E-2</v>
      </c>
      <c r="W22" s="983">
        <f t="shared" si="8"/>
        <v>2.7122759999999996E-2</v>
      </c>
      <c r="X22" s="983">
        <f t="shared" si="9"/>
        <v>1.2342299999999999E-2</v>
      </c>
      <c r="Y22" s="983">
        <f t="shared" si="10"/>
        <v>4.2959999999999998E-4</v>
      </c>
      <c r="Z22" s="983">
        <f t="shared" si="11"/>
        <v>0.6</v>
      </c>
      <c r="AA22" s="983">
        <f t="shared" si="12"/>
        <v>2.8205999999999998E-2</v>
      </c>
    </row>
    <row r="23" spans="1:27" x14ac:dyDescent="0.2">
      <c r="A23" s="457" t="s">
        <v>948</v>
      </c>
      <c r="B23" s="457">
        <v>100</v>
      </c>
      <c r="C23" s="457">
        <v>4</v>
      </c>
      <c r="D23" s="986">
        <v>17.600000000000001</v>
      </c>
      <c r="E23" s="986">
        <v>1.7</v>
      </c>
      <c r="F23" s="457">
        <v>100</v>
      </c>
      <c r="G23" s="457">
        <v>150</v>
      </c>
      <c r="H23" s="457">
        <v>80</v>
      </c>
      <c r="I23" s="457">
        <v>72</v>
      </c>
      <c r="J23" s="457">
        <v>23</v>
      </c>
      <c r="K23" s="988">
        <v>1.6</v>
      </c>
      <c r="L23" s="987">
        <v>0.7</v>
      </c>
      <c r="M23" s="457">
        <v>125</v>
      </c>
      <c r="N23" s="984"/>
      <c r="O23" s="984" t="str">
        <f t="shared" si="13"/>
        <v>Nutrison Adv Peptisorb</v>
      </c>
      <c r="P23" s="983">
        <f t="shared" si="1"/>
        <v>1</v>
      </c>
      <c r="Q23" s="983">
        <f t="shared" si="2"/>
        <v>0.04</v>
      </c>
      <c r="R23" s="983">
        <f t="shared" si="3"/>
        <v>0.17600000000000002</v>
      </c>
      <c r="S23" s="983">
        <f t="shared" si="4"/>
        <v>1.7000000000000001E-2</v>
      </c>
      <c r="T23" s="983">
        <f t="shared" si="5"/>
        <v>4.3478000000000003E-2</v>
      </c>
      <c r="U23" s="983">
        <f t="shared" si="6"/>
        <v>3.8461500000000003E-2</v>
      </c>
      <c r="V23" s="983">
        <f t="shared" si="7"/>
        <v>1.992E-2</v>
      </c>
      <c r="W23" s="983">
        <f t="shared" si="8"/>
        <v>2.3248080000000001E-2</v>
      </c>
      <c r="X23" s="983">
        <f t="shared" si="9"/>
        <v>9.4624299999999991E-3</v>
      </c>
      <c r="Y23" s="983">
        <f t="shared" si="10"/>
        <v>2.8639999999999997E-4</v>
      </c>
      <c r="Z23" s="983">
        <f t="shared" si="11"/>
        <v>0.28000000000000003</v>
      </c>
      <c r="AA23" s="983">
        <f t="shared" si="12"/>
        <v>3.5257499999999997E-2</v>
      </c>
    </row>
    <row r="24" spans="1:27" x14ac:dyDescent="0.2">
      <c r="A24" s="457" t="s">
        <v>867</v>
      </c>
      <c r="B24" s="457">
        <v>67</v>
      </c>
      <c r="C24" s="457">
        <v>1.8</v>
      </c>
      <c r="D24" s="986">
        <v>7.2</v>
      </c>
      <c r="E24" s="986">
        <v>3.4</v>
      </c>
      <c r="F24" s="457">
        <v>26.1</v>
      </c>
      <c r="G24" s="457">
        <v>72.5</v>
      </c>
      <c r="H24" s="457">
        <v>65.599999999999994</v>
      </c>
      <c r="I24" s="457">
        <v>47.1</v>
      </c>
      <c r="J24" s="457">
        <v>7</v>
      </c>
      <c r="K24" s="988">
        <v>1</v>
      </c>
      <c r="L24" s="987">
        <v>1.2</v>
      </c>
      <c r="M24" s="457">
        <v>53.3</v>
      </c>
      <c r="N24" s="984"/>
      <c r="O24" s="984" t="str">
        <f t="shared" si="13"/>
        <v>Nutrilon Neocate</v>
      </c>
      <c r="P24" s="983">
        <f t="shared" si="1"/>
        <v>0.67</v>
      </c>
      <c r="Q24" s="983">
        <f t="shared" si="2"/>
        <v>1.8000000000000002E-2</v>
      </c>
      <c r="R24" s="983">
        <f t="shared" si="3"/>
        <v>7.2000000000000008E-2</v>
      </c>
      <c r="S24" s="983">
        <f t="shared" si="4"/>
        <v>3.4000000000000002E-2</v>
      </c>
      <c r="T24" s="983">
        <f t="shared" si="5"/>
        <v>1.1347758000000001E-2</v>
      </c>
      <c r="U24" s="983">
        <f t="shared" si="6"/>
        <v>1.8589725000000001E-2</v>
      </c>
      <c r="V24" s="983">
        <f t="shared" si="7"/>
        <v>1.6334399999999999E-2</v>
      </c>
      <c r="W24" s="983">
        <f t="shared" si="8"/>
        <v>1.5208118999999999E-2</v>
      </c>
      <c r="X24" s="983">
        <f t="shared" si="9"/>
        <v>2.8798700000000001E-3</v>
      </c>
      <c r="Y24" s="983">
        <f t="shared" si="10"/>
        <v>1.7899999999999999E-4</v>
      </c>
      <c r="Z24" s="983">
        <f t="shared" si="11"/>
        <v>0.48</v>
      </c>
      <c r="AA24" s="983">
        <f t="shared" si="12"/>
        <v>1.5033797999999998E-2</v>
      </c>
    </row>
    <row r="25" spans="1:27" x14ac:dyDescent="0.2">
      <c r="A25" s="457" t="s">
        <v>868</v>
      </c>
      <c r="B25" s="457">
        <v>66</v>
      </c>
      <c r="C25" s="457">
        <v>1.8</v>
      </c>
      <c r="D25" s="986">
        <v>6.8</v>
      </c>
      <c r="E25" s="986">
        <v>3.5</v>
      </c>
      <c r="F25" s="457">
        <v>18</v>
      </c>
      <c r="G25" s="457">
        <v>65</v>
      </c>
      <c r="H25" s="457">
        <v>50</v>
      </c>
      <c r="I25" s="457">
        <v>28</v>
      </c>
      <c r="J25" s="457">
        <v>5.0999999999999996</v>
      </c>
      <c r="K25" s="988">
        <v>0.77</v>
      </c>
      <c r="L25" s="987">
        <v>1.3</v>
      </c>
      <c r="M25" s="457">
        <v>40</v>
      </c>
      <c r="N25" s="984"/>
      <c r="O25" s="984" t="str">
        <f t="shared" si="13"/>
        <v>Nutrilon Pepti Junior</v>
      </c>
      <c r="P25" s="983">
        <f t="shared" si="1"/>
        <v>0.66</v>
      </c>
      <c r="Q25" s="983">
        <f t="shared" si="2"/>
        <v>1.8000000000000002E-2</v>
      </c>
      <c r="R25" s="983">
        <f t="shared" si="3"/>
        <v>6.8000000000000005E-2</v>
      </c>
      <c r="S25" s="983">
        <f t="shared" si="4"/>
        <v>3.5000000000000003E-2</v>
      </c>
      <c r="T25" s="983">
        <f t="shared" si="5"/>
        <v>7.8260400000000011E-3</v>
      </c>
      <c r="U25" s="983">
        <f t="shared" si="6"/>
        <v>1.6666650000000002E-2</v>
      </c>
      <c r="V25" s="983">
        <f t="shared" si="7"/>
        <v>1.2449999999999999E-2</v>
      </c>
      <c r="W25" s="983">
        <f t="shared" si="8"/>
        <v>9.0409199999999992E-3</v>
      </c>
      <c r="X25" s="983">
        <f t="shared" si="9"/>
        <v>2.0981909999999997E-3</v>
      </c>
      <c r="Y25" s="983">
        <f t="shared" si="10"/>
        <v>1.3783E-4</v>
      </c>
      <c r="Z25" s="983">
        <f t="shared" si="11"/>
        <v>0.52</v>
      </c>
      <c r="AA25" s="983">
        <f t="shared" si="12"/>
        <v>1.12824E-2</v>
      </c>
    </row>
    <row r="26" spans="1:27" x14ac:dyDescent="0.2">
      <c r="A26" s="991" t="s">
        <v>930</v>
      </c>
      <c r="B26" s="457">
        <v>68</v>
      </c>
      <c r="C26" s="457">
        <v>1</v>
      </c>
      <c r="D26" s="986">
        <v>7.0000000000000009</v>
      </c>
      <c r="E26" s="986">
        <v>4</v>
      </c>
      <c r="F26" s="457">
        <v>20</v>
      </c>
      <c r="G26" s="457">
        <v>50.000000000000007</v>
      </c>
      <c r="H26" s="457">
        <v>30</v>
      </c>
      <c r="I26" s="457">
        <v>15</v>
      </c>
      <c r="J26" s="457">
        <v>3.0000000000000004</v>
      </c>
      <c r="K26" s="986">
        <v>0.1</v>
      </c>
      <c r="L26" s="457">
        <v>0</v>
      </c>
      <c r="M26" s="457">
        <v>43</v>
      </c>
      <c r="N26" s="984"/>
      <c r="O26" s="984" t="str">
        <f t="shared" si="13"/>
        <v>MM of Nenatal 1</v>
      </c>
      <c r="P26" s="983">
        <f t="shared" si="1"/>
        <v>0.68</v>
      </c>
      <c r="Q26" s="983">
        <f t="shared" si="2"/>
        <v>0.01</v>
      </c>
      <c r="R26" s="983">
        <f t="shared" si="3"/>
        <v>7.0000000000000007E-2</v>
      </c>
      <c r="S26" s="983">
        <f t="shared" si="4"/>
        <v>0.04</v>
      </c>
      <c r="T26" s="983">
        <f t="shared" si="5"/>
        <v>8.6956000000000012E-3</v>
      </c>
      <c r="U26" s="983">
        <f t="shared" si="6"/>
        <v>1.2820500000000002E-2</v>
      </c>
      <c r="V26" s="983">
        <f t="shared" si="7"/>
        <v>7.4700000000000001E-3</v>
      </c>
      <c r="W26" s="983">
        <f t="shared" si="8"/>
        <v>4.8433499999999997E-3</v>
      </c>
      <c r="X26" s="983">
        <f t="shared" si="9"/>
        <v>1.23423E-3</v>
      </c>
      <c r="Y26" s="983">
        <f t="shared" si="10"/>
        <v>1.7899999999999998E-5</v>
      </c>
      <c r="Z26" s="983">
        <f t="shared" si="11"/>
        <v>0</v>
      </c>
      <c r="AA26" s="983">
        <f t="shared" si="12"/>
        <v>1.212858E-2</v>
      </c>
    </row>
    <row r="27" spans="1:27" x14ac:dyDescent="0.2">
      <c r="A27" s="991" t="s">
        <v>931</v>
      </c>
      <c r="B27" s="457">
        <v>68</v>
      </c>
      <c r="C27" s="457">
        <v>1</v>
      </c>
      <c r="D27" s="986">
        <v>7.0000000000000009</v>
      </c>
      <c r="E27" s="986">
        <v>4</v>
      </c>
      <c r="F27" s="457">
        <v>20</v>
      </c>
      <c r="G27" s="457">
        <v>50.000000000000007</v>
      </c>
      <c r="H27" s="457">
        <v>30</v>
      </c>
      <c r="I27" s="457">
        <v>15</v>
      </c>
      <c r="J27" s="457">
        <v>3.0000000000000004</v>
      </c>
      <c r="K27" s="986">
        <v>0.1</v>
      </c>
      <c r="L27" s="457">
        <v>0</v>
      </c>
      <c r="M27" s="457">
        <v>43</v>
      </c>
      <c r="N27" s="984"/>
      <c r="O27" s="984" t="str">
        <f t="shared" si="13"/>
        <v>MM of Nenatal Start</v>
      </c>
      <c r="P27" s="983">
        <f t="shared" si="1"/>
        <v>0.68</v>
      </c>
      <c r="Q27" s="983">
        <f t="shared" si="2"/>
        <v>0.01</v>
      </c>
      <c r="R27" s="983">
        <f t="shared" si="3"/>
        <v>7.0000000000000007E-2</v>
      </c>
      <c r="S27" s="983">
        <f t="shared" si="4"/>
        <v>0.04</v>
      </c>
      <c r="T27" s="983">
        <f t="shared" si="5"/>
        <v>8.6956000000000012E-3</v>
      </c>
      <c r="U27" s="983">
        <f t="shared" si="6"/>
        <v>1.2820500000000002E-2</v>
      </c>
      <c r="V27" s="983">
        <f t="shared" si="7"/>
        <v>7.4700000000000001E-3</v>
      </c>
      <c r="W27" s="983">
        <f t="shared" si="8"/>
        <v>4.8433499999999997E-3</v>
      </c>
      <c r="X27" s="983">
        <f t="shared" si="9"/>
        <v>1.23423E-3</v>
      </c>
      <c r="Y27" s="983">
        <f t="shared" si="10"/>
        <v>1.7899999999999998E-5</v>
      </c>
      <c r="Z27" s="983">
        <f t="shared" si="11"/>
        <v>0</v>
      </c>
      <c r="AA27" s="983">
        <f t="shared" si="12"/>
        <v>1.212858E-2</v>
      </c>
    </row>
    <row r="28" spans="1:27" x14ac:dyDescent="0.2">
      <c r="A28" s="991" t="s">
        <v>932</v>
      </c>
      <c r="B28" s="457">
        <v>68</v>
      </c>
      <c r="C28" s="457">
        <v>1</v>
      </c>
      <c r="D28" s="986">
        <v>7.0000000000000009</v>
      </c>
      <c r="E28" s="986">
        <v>4</v>
      </c>
      <c r="F28" s="457">
        <v>20</v>
      </c>
      <c r="G28" s="457">
        <v>50.000000000000007</v>
      </c>
      <c r="H28" s="457">
        <v>30</v>
      </c>
      <c r="I28" s="457">
        <v>15</v>
      </c>
      <c r="J28" s="457">
        <v>3.0000000000000004</v>
      </c>
      <c r="K28" s="986">
        <v>0.1</v>
      </c>
      <c r="L28" s="457">
        <v>0</v>
      </c>
      <c r="M28" s="457">
        <v>43</v>
      </c>
      <c r="N28" s="984"/>
      <c r="O28" s="984" t="str">
        <f t="shared" si="13"/>
        <v>MM of Nutrilon Standaard 1</v>
      </c>
      <c r="P28" s="983">
        <f t="shared" si="1"/>
        <v>0.68</v>
      </c>
      <c r="Q28" s="983">
        <f t="shared" si="2"/>
        <v>0.01</v>
      </c>
      <c r="R28" s="983">
        <f t="shared" si="3"/>
        <v>7.0000000000000007E-2</v>
      </c>
      <c r="S28" s="983">
        <f t="shared" si="4"/>
        <v>0.04</v>
      </c>
      <c r="T28" s="983">
        <f t="shared" si="5"/>
        <v>8.6956000000000012E-3</v>
      </c>
      <c r="U28" s="983">
        <f t="shared" si="6"/>
        <v>1.2820500000000002E-2</v>
      </c>
      <c r="V28" s="983">
        <f t="shared" si="7"/>
        <v>7.4700000000000001E-3</v>
      </c>
      <c r="W28" s="983">
        <f t="shared" si="8"/>
        <v>4.8433499999999997E-3</v>
      </c>
      <c r="X28" s="983">
        <f t="shared" si="9"/>
        <v>1.23423E-3</v>
      </c>
      <c r="Y28" s="983">
        <f t="shared" si="10"/>
        <v>1.7899999999999998E-5</v>
      </c>
      <c r="Z28" s="983">
        <f t="shared" si="11"/>
        <v>0</v>
      </c>
      <c r="AA28" s="983">
        <f t="shared" si="12"/>
        <v>1.212858E-2</v>
      </c>
    </row>
    <row r="29" spans="1:27" x14ac:dyDescent="0.2">
      <c r="A29" s="991" t="s">
        <v>933</v>
      </c>
      <c r="B29" s="457">
        <v>68</v>
      </c>
      <c r="C29" s="457">
        <v>1</v>
      </c>
      <c r="D29" s="986">
        <v>7.0000000000000009</v>
      </c>
      <c r="E29" s="986">
        <v>4</v>
      </c>
      <c r="F29" s="457">
        <v>20</v>
      </c>
      <c r="G29" s="457">
        <v>50.000000000000007</v>
      </c>
      <c r="H29" s="457">
        <v>30</v>
      </c>
      <c r="I29" s="457">
        <v>15</v>
      </c>
      <c r="J29" s="457">
        <v>3.0000000000000004</v>
      </c>
      <c r="K29" s="986">
        <v>0.1</v>
      </c>
      <c r="L29" s="457">
        <v>0</v>
      </c>
      <c r="M29" s="457">
        <v>43</v>
      </c>
      <c r="N29" s="984"/>
      <c r="O29" s="984" t="str">
        <f t="shared" si="13"/>
        <v>MM of Nutrilon Standaard 2</v>
      </c>
      <c r="P29" s="983">
        <f t="shared" si="1"/>
        <v>0.68</v>
      </c>
      <c r="Q29" s="983">
        <f t="shared" si="2"/>
        <v>0.01</v>
      </c>
      <c r="R29" s="983">
        <f t="shared" si="3"/>
        <v>7.0000000000000007E-2</v>
      </c>
      <c r="S29" s="983">
        <f t="shared" si="4"/>
        <v>0.04</v>
      </c>
      <c r="T29" s="983">
        <f t="shared" si="5"/>
        <v>8.6956000000000012E-3</v>
      </c>
      <c r="U29" s="983">
        <f t="shared" si="6"/>
        <v>1.2820500000000002E-2</v>
      </c>
      <c r="V29" s="983">
        <f t="shared" si="7"/>
        <v>7.4700000000000001E-3</v>
      </c>
      <c r="W29" s="983">
        <f t="shared" si="8"/>
        <v>4.8433499999999997E-3</v>
      </c>
      <c r="X29" s="983">
        <f t="shared" si="9"/>
        <v>1.23423E-3</v>
      </c>
      <c r="Y29" s="983">
        <f t="shared" si="10"/>
        <v>1.7899999999999998E-5</v>
      </c>
      <c r="Z29" s="983">
        <f t="shared" si="11"/>
        <v>0</v>
      </c>
      <c r="AA29" s="983">
        <f t="shared" si="12"/>
        <v>1.212858E-2</v>
      </c>
    </row>
    <row r="30" spans="1:27" x14ac:dyDescent="0.2">
      <c r="A30" s="991" t="s">
        <v>934</v>
      </c>
      <c r="B30" s="457">
        <v>68</v>
      </c>
      <c r="C30" s="457">
        <v>1</v>
      </c>
      <c r="D30" s="986">
        <v>7.0000000000000009</v>
      </c>
      <c r="E30" s="986">
        <v>4</v>
      </c>
      <c r="F30" s="457">
        <v>20</v>
      </c>
      <c r="G30" s="457">
        <v>50.000000000000007</v>
      </c>
      <c r="H30" s="457">
        <v>30</v>
      </c>
      <c r="I30" s="457">
        <v>15</v>
      </c>
      <c r="J30" s="457">
        <v>3.0000000000000004</v>
      </c>
      <c r="K30" s="986">
        <v>0.1</v>
      </c>
      <c r="L30" s="457">
        <v>0</v>
      </c>
      <c r="M30" s="457">
        <v>43</v>
      </c>
      <c r="N30" s="984"/>
      <c r="O30" s="984" t="str">
        <f t="shared" si="13"/>
        <v>MM of Hypoallergeen</v>
      </c>
      <c r="P30" s="983">
        <f t="shared" si="1"/>
        <v>0.68</v>
      </c>
      <c r="Q30" s="983">
        <f t="shared" si="2"/>
        <v>0.01</v>
      </c>
      <c r="R30" s="983">
        <f t="shared" si="3"/>
        <v>7.0000000000000007E-2</v>
      </c>
      <c r="S30" s="983">
        <f t="shared" si="4"/>
        <v>0.04</v>
      </c>
      <c r="T30" s="983">
        <f t="shared" si="5"/>
        <v>8.6956000000000012E-3</v>
      </c>
      <c r="U30" s="983">
        <f t="shared" si="6"/>
        <v>1.2820500000000002E-2</v>
      </c>
      <c r="V30" s="983">
        <f t="shared" si="7"/>
        <v>7.4700000000000001E-3</v>
      </c>
      <c r="W30" s="983">
        <f t="shared" si="8"/>
        <v>4.8433499999999997E-3</v>
      </c>
      <c r="X30" s="983">
        <f t="shared" si="9"/>
        <v>1.23423E-3</v>
      </c>
      <c r="Y30" s="983">
        <f t="shared" si="10"/>
        <v>1.7899999999999998E-5</v>
      </c>
      <c r="Z30" s="983">
        <f t="shared" si="11"/>
        <v>0</v>
      </c>
      <c r="AA30" s="983">
        <f t="shared" si="12"/>
        <v>1.212858E-2</v>
      </c>
    </row>
    <row r="31" spans="1:27" x14ac:dyDescent="0.2">
      <c r="A31" s="991" t="s">
        <v>935</v>
      </c>
      <c r="B31" s="457">
        <v>68</v>
      </c>
      <c r="C31" s="457">
        <v>1</v>
      </c>
      <c r="D31" s="986">
        <v>7.0000000000000009</v>
      </c>
      <c r="E31" s="986">
        <v>4</v>
      </c>
      <c r="F31" s="457">
        <v>20</v>
      </c>
      <c r="G31" s="457">
        <v>50.000000000000007</v>
      </c>
      <c r="H31" s="457">
        <v>30</v>
      </c>
      <c r="I31" s="457">
        <v>15</v>
      </c>
      <c r="J31" s="457">
        <v>3.0000000000000004</v>
      </c>
      <c r="K31" s="986">
        <v>0.1</v>
      </c>
      <c r="L31" s="457">
        <v>0</v>
      </c>
      <c r="M31" s="457">
        <v>43</v>
      </c>
      <c r="N31" s="984"/>
      <c r="O31" s="984" t="str">
        <f t="shared" si="13"/>
        <v>MM of Neocate</v>
      </c>
      <c r="P31" s="983">
        <f t="shared" si="1"/>
        <v>0.68</v>
      </c>
      <c r="Q31" s="983">
        <f t="shared" si="2"/>
        <v>0.01</v>
      </c>
      <c r="R31" s="983">
        <f t="shared" si="3"/>
        <v>7.0000000000000007E-2</v>
      </c>
      <c r="S31" s="983">
        <f t="shared" si="4"/>
        <v>0.04</v>
      </c>
      <c r="T31" s="983">
        <f t="shared" si="5"/>
        <v>8.6956000000000012E-3</v>
      </c>
      <c r="U31" s="983">
        <f t="shared" si="6"/>
        <v>1.2820500000000002E-2</v>
      </c>
      <c r="V31" s="983">
        <f t="shared" si="7"/>
        <v>7.4700000000000001E-3</v>
      </c>
      <c r="W31" s="983">
        <f t="shared" si="8"/>
        <v>4.8433499999999997E-3</v>
      </c>
      <c r="X31" s="983">
        <f t="shared" si="9"/>
        <v>1.23423E-3</v>
      </c>
      <c r="Y31" s="983">
        <f t="shared" si="10"/>
        <v>1.7899999999999998E-5</v>
      </c>
      <c r="Z31" s="983">
        <f t="shared" si="11"/>
        <v>0</v>
      </c>
      <c r="AA31" s="983">
        <f t="shared" si="12"/>
        <v>1.212858E-2</v>
      </c>
    </row>
    <row r="32" spans="1:27" x14ac:dyDescent="0.2">
      <c r="A32" s="991" t="s">
        <v>938</v>
      </c>
      <c r="B32" s="991">
        <v>66.3</v>
      </c>
      <c r="C32" s="991">
        <v>1.5</v>
      </c>
      <c r="D32" s="991">
        <v>7</v>
      </c>
      <c r="E32" s="991">
        <v>3.6</v>
      </c>
      <c r="F32" s="991">
        <v>20.3</v>
      </c>
      <c r="G32" s="991">
        <v>67</v>
      </c>
      <c r="H32" s="991">
        <v>53.3</v>
      </c>
      <c r="I32" s="991">
        <v>29.2</v>
      </c>
      <c r="J32" s="991">
        <v>0.08</v>
      </c>
      <c r="K32" s="991">
        <v>0.51</v>
      </c>
      <c r="L32" s="991">
        <v>1.9</v>
      </c>
      <c r="M32" s="457">
        <v>40</v>
      </c>
      <c r="N32" s="984"/>
      <c r="O32" s="984" t="str">
        <f t="shared" si="13"/>
        <v>Nutrilon Caprilon</v>
      </c>
      <c r="P32" s="983">
        <f t="shared" si="1"/>
        <v>0.66299999999999992</v>
      </c>
      <c r="Q32" s="983">
        <f t="shared" si="2"/>
        <v>1.4999999999999999E-2</v>
      </c>
      <c r="R32" s="983">
        <f t="shared" si="3"/>
        <v>7.0000000000000007E-2</v>
      </c>
      <c r="S32" s="983">
        <f t="shared" si="4"/>
        <v>3.6000000000000004E-2</v>
      </c>
      <c r="T32" s="983">
        <f t="shared" si="5"/>
        <v>8.826034E-3</v>
      </c>
      <c r="U32" s="983">
        <f t="shared" si="6"/>
        <v>1.7179470000000002E-2</v>
      </c>
      <c r="V32" s="983">
        <f t="shared" si="7"/>
        <v>1.3271699999999999E-2</v>
      </c>
      <c r="W32" s="983">
        <f t="shared" si="8"/>
        <v>9.4283879999999994E-3</v>
      </c>
      <c r="X32" s="983">
        <f t="shared" si="9"/>
        <v>3.2912799999999994E-5</v>
      </c>
      <c r="Y32" s="983">
        <f t="shared" si="10"/>
        <v>9.1290000000000002E-5</v>
      </c>
      <c r="Z32" s="983">
        <f t="shared" si="11"/>
        <v>0.76</v>
      </c>
      <c r="AA32" s="983">
        <f t="shared" si="12"/>
        <v>1.12824E-2</v>
      </c>
    </row>
    <row r="33" spans="1:27" x14ac:dyDescent="0.2">
      <c r="A33" s="457" t="s">
        <v>869</v>
      </c>
      <c r="B33" s="991">
        <v>66</v>
      </c>
      <c r="C33" s="991">
        <v>1.4</v>
      </c>
      <c r="D33" s="991">
        <v>7.2</v>
      </c>
      <c r="E33" s="991">
        <v>3.5</v>
      </c>
      <c r="F33" s="991">
        <v>20</v>
      </c>
      <c r="G33" s="991">
        <v>65</v>
      </c>
      <c r="H33" s="991">
        <v>50</v>
      </c>
      <c r="I33" s="991">
        <v>30</v>
      </c>
      <c r="J33" s="991">
        <v>6</v>
      </c>
      <c r="K33" s="991">
        <v>0.78</v>
      </c>
      <c r="L33" s="991">
        <v>1.2</v>
      </c>
      <c r="M33" s="991">
        <v>42</v>
      </c>
      <c r="O33" s="984" t="str">
        <f t="shared" si="13"/>
        <v>Hero Baby 1 NS Standaard</v>
      </c>
      <c r="P33" s="983">
        <f t="shared" si="1"/>
        <v>0.66</v>
      </c>
      <c r="Q33" s="983">
        <f t="shared" si="2"/>
        <v>1.3999999999999999E-2</v>
      </c>
      <c r="R33" s="983">
        <f t="shared" si="3"/>
        <v>7.2000000000000008E-2</v>
      </c>
      <c r="S33" s="983">
        <f t="shared" si="4"/>
        <v>3.5000000000000003E-2</v>
      </c>
      <c r="T33" s="983">
        <f t="shared" si="5"/>
        <v>8.6956000000000012E-3</v>
      </c>
      <c r="U33" s="983">
        <f t="shared" si="6"/>
        <v>1.6666650000000002E-2</v>
      </c>
      <c r="V33" s="983">
        <f t="shared" si="7"/>
        <v>1.2449999999999999E-2</v>
      </c>
      <c r="W33" s="983">
        <f t="shared" si="8"/>
        <v>9.6866999999999995E-3</v>
      </c>
      <c r="X33" s="983">
        <f t="shared" si="9"/>
        <v>2.46846E-3</v>
      </c>
      <c r="Y33" s="983">
        <f t="shared" si="10"/>
        <v>1.3961999999999999E-4</v>
      </c>
      <c r="Z33" s="983">
        <f t="shared" si="11"/>
        <v>0.48</v>
      </c>
      <c r="AA33" s="983">
        <f t="shared" si="12"/>
        <v>1.1846520000000001E-2</v>
      </c>
    </row>
    <row r="34" spans="1:27" x14ac:dyDescent="0.2">
      <c r="A34" s="457" t="s">
        <v>870</v>
      </c>
      <c r="B34" s="991">
        <v>70</v>
      </c>
      <c r="C34" s="991">
        <v>1.6</v>
      </c>
      <c r="D34" s="991">
        <v>9.1999999999999993</v>
      </c>
      <c r="E34" s="991">
        <v>2.9</v>
      </c>
      <c r="F34" s="991">
        <v>24</v>
      </c>
      <c r="G34" s="991">
        <v>83</v>
      </c>
      <c r="H34" s="991">
        <v>72</v>
      </c>
      <c r="I34" s="991">
        <v>53</v>
      </c>
      <c r="J34" s="991">
        <v>7.8</v>
      </c>
      <c r="K34" s="991">
        <v>1.1000000000000001</v>
      </c>
      <c r="L34" s="991">
        <v>1.3</v>
      </c>
      <c r="M34" s="991">
        <v>45</v>
      </c>
      <c r="O34" s="984" t="str">
        <f t="shared" si="13"/>
        <v>Hero Baby 2 NS Standaard</v>
      </c>
      <c r="P34" s="983">
        <f t="shared" si="1"/>
        <v>0.7</v>
      </c>
      <c r="Q34" s="983">
        <f t="shared" si="2"/>
        <v>1.6E-2</v>
      </c>
      <c r="R34" s="983">
        <f t="shared" si="3"/>
        <v>9.1999999999999998E-2</v>
      </c>
      <c r="S34" s="983">
        <f t="shared" si="4"/>
        <v>2.8999999999999998E-2</v>
      </c>
      <c r="T34" s="983">
        <f t="shared" si="5"/>
        <v>1.043472E-2</v>
      </c>
      <c r="U34" s="983">
        <f t="shared" si="6"/>
        <v>2.128203E-2</v>
      </c>
      <c r="V34" s="983">
        <f t="shared" si="7"/>
        <v>1.7927999999999999E-2</v>
      </c>
      <c r="W34" s="983">
        <f t="shared" si="8"/>
        <v>1.711317E-2</v>
      </c>
      <c r="X34" s="983">
        <f t="shared" si="9"/>
        <v>3.2089979999999994E-3</v>
      </c>
      <c r="Y34" s="983">
        <f t="shared" si="10"/>
        <v>1.9689999999999999E-4</v>
      </c>
      <c r="Z34" s="983">
        <f t="shared" si="11"/>
        <v>0.52</v>
      </c>
      <c r="AA34" s="983">
        <f t="shared" si="12"/>
        <v>1.2692699999999999E-2</v>
      </c>
    </row>
    <row r="35" spans="1:27" x14ac:dyDescent="0.2">
      <c r="A35" s="457" t="s">
        <v>871</v>
      </c>
      <c r="B35" s="991">
        <v>65</v>
      </c>
      <c r="C35" s="991">
        <v>1.4</v>
      </c>
      <c r="D35" s="991">
        <v>6.8</v>
      </c>
      <c r="E35" s="991">
        <v>3.5</v>
      </c>
      <c r="F35" s="991">
        <v>16</v>
      </c>
      <c r="G35" s="991">
        <v>60.1</v>
      </c>
      <c r="H35" s="991">
        <v>43.9</v>
      </c>
      <c r="I35" s="991">
        <v>26</v>
      </c>
      <c r="J35" s="991">
        <v>4</v>
      </c>
      <c r="K35" s="991">
        <v>0.4</v>
      </c>
      <c r="L35" s="991">
        <v>1.2</v>
      </c>
      <c r="M35" s="991">
        <v>40</v>
      </c>
      <c r="O35" s="984" t="str">
        <f t="shared" si="13"/>
        <v>Hero Baby 1 NS Comfort</v>
      </c>
      <c r="P35" s="983">
        <f t="shared" si="1"/>
        <v>0.65</v>
      </c>
      <c r="Q35" s="983">
        <f t="shared" si="2"/>
        <v>1.3999999999999999E-2</v>
      </c>
      <c r="R35" s="983">
        <f t="shared" si="3"/>
        <v>6.8000000000000005E-2</v>
      </c>
      <c r="S35" s="983">
        <f t="shared" si="4"/>
        <v>3.5000000000000003E-2</v>
      </c>
      <c r="T35" s="983">
        <f t="shared" si="5"/>
        <v>6.9564800000000001E-3</v>
      </c>
      <c r="U35" s="983">
        <f t="shared" si="6"/>
        <v>1.5410241E-2</v>
      </c>
      <c r="V35" s="983">
        <f t="shared" si="7"/>
        <v>1.0931099999999997E-2</v>
      </c>
      <c r="W35" s="983">
        <f t="shared" si="8"/>
        <v>8.3951400000000006E-3</v>
      </c>
      <c r="X35" s="983">
        <f t="shared" si="9"/>
        <v>1.6456399999999999E-3</v>
      </c>
      <c r="Y35" s="983">
        <f t="shared" si="10"/>
        <v>7.1599999999999992E-5</v>
      </c>
      <c r="Z35" s="983">
        <f t="shared" si="11"/>
        <v>0.48</v>
      </c>
      <c r="AA35" s="983">
        <f t="shared" si="12"/>
        <v>1.12824E-2</v>
      </c>
    </row>
    <row r="36" spans="1:27" x14ac:dyDescent="0.2">
      <c r="A36" s="457" t="s">
        <v>872</v>
      </c>
      <c r="B36" s="991">
        <v>62</v>
      </c>
      <c r="C36" s="991">
        <v>1.3</v>
      </c>
      <c r="D36" s="991">
        <v>6.4</v>
      </c>
      <c r="E36" s="991">
        <v>3.3</v>
      </c>
      <c r="F36" s="991">
        <v>15</v>
      </c>
      <c r="G36" s="991">
        <v>56.8</v>
      </c>
      <c r="H36" s="991">
        <v>41.6</v>
      </c>
      <c r="I36" s="991">
        <v>25</v>
      </c>
      <c r="J36" s="991">
        <v>3.79</v>
      </c>
      <c r="K36" s="991">
        <v>1</v>
      </c>
      <c r="L36" s="991">
        <v>1.1000000000000001</v>
      </c>
      <c r="M36" s="991">
        <v>37.9</v>
      </c>
      <c r="O36" s="984" t="str">
        <f t="shared" si="13"/>
        <v>Hero Baby 2 NS Comfort</v>
      </c>
      <c r="P36" s="983">
        <f t="shared" si="1"/>
        <v>0.62</v>
      </c>
      <c r="Q36" s="983">
        <f t="shared" si="2"/>
        <v>1.3000000000000001E-2</v>
      </c>
      <c r="R36" s="983">
        <f t="shared" si="3"/>
        <v>6.4000000000000001E-2</v>
      </c>
      <c r="S36" s="983">
        <f t="shared" si="4"/>
        <v>3.3000000000000002E-2</v>
      </c>
      <c r="T36" s="983">
        <f t="shared" si="5"/>
        <v>6.5217000000000001E-3</v>
      </c>
      <c r="U36" s="983">
        <f t="shared" si="6"/>
        <v>1.4564087999999999E-2</v>
      </c>
      <c r="V36" s="983">
        <f t="shared" si="7"/>
        <v>1.0358399999999999E-2</v>
      </c>
      <c r="W36" s="983">
        <f t="shared" si="8"/>
        <v>8.0722499999999996E-3</v>
      </c>
      <c r="X36" s="983">
        <f t="shared" si="9"/>
        <v>1.5592439E-3</v>
      </c>
      <c r="Y36" s="983">
        <f t="shared" si="10"/>
        <v>1.7899999999999999E-4</v>
      </c>
      <c r="Z36" s="983">
        <f t="shared" si="11"/>
        <v>0.44</v>
      </c>
      <c r="AA36" s="983">
        <f t="shared" si="12"/>
        <v>1.0690073999999999E-2</v>
      </c>
    </row>
    <row r="37" spans="1:27" x14ac:dyDescent="0.2">
      <c r="A37" s="457" t="s">
        <v>939</v>
      </c>
      <c r="B37" s="991">
        <v>66</v>
      </c>
      <c r="C37" s="991">
        <v>2</v>
      </c>
      <c r="D37" s="991">
        <v>6.6</v>
      </c>
      <c r="E37" s="991">
        <v>3.5</v>
      </c>
      <c r="F37" s="991">
        <v>22</v>
      </c>
      <c r="G37" s="991">
        <v>69.3</v>
      </c>
      <c r="H37" s="991">
        <v>66.3</v>
      </c>
      <c r="I37" s="991">
        <v>39</v>
      </c>
      <c r="J37" s="991">
        <v>6.58</v>
      </c>
      <c r="K37" s="991">
        <v>0.87</v>
      </c>
      <c r="L37" s="991">
        <v>1.3</v>
      </c>
      <c r="M37" s="991">
        <v>45.2</v>
      </c>
      <c r="O37" s="984" t="str">
        <f t="shared" si="13"/>
        <v>Hero Baby 1 NS Prematuur</v>
      </c>
      <c r="P37" s="983">
        <f t="shared" si="1"/>
        <v>0.66</v>
      </c>
      <c r="Q37" s="983">
        <f t="shared" si="2"/>
        <v>0.02</v>
      </c>
      <c r="R37" s="983">
        <f t="shared" si="3"/>
        <v>6.6000000000000003E-2</v>
      </c>
      <c r="S37" s="983">
        <f t="shared" si="4"/>
        <v>3.5000000000000003E-2</v>
      </c>
      <c r="T37" s="983">
        <f t="shared" si="5"/>
        <v>9.5651599999999996E-3</v>
      </c>
      <c r="U37" s="983">
        <f t="shared" si="6"/>
        <v>1.7769212999999999E-2</v>
      </c>
      <c r="V37" s="983">
        <f t="shared" si="7"/>
        <v>1.6508699999999998E-2</v>
      </c>
      <c r="W37" s="983">
        <f t="shared" si="8"/>
        <v>1.259271E-2</v>
      </c>
      <c r="X37" s="983">
        <f t="shared" si="9"/>
        <v>2.7070778000000003E-3</v>
      </c>
      <c r="Y37" s="983">
        <f t="shared" si="10"/>
        <v>1.5573E-4</v>
      </c>
      <c r="Z37" s="983">
        <f t="shared" si="11"/>
        <v>0.52</v>
      </c>
      <c r="AA37" s="983">
        <f t="shared" si="12"/>
        <v>1.2749112E-2</v>
      </c>
    </row>
    <row r="38" spans="1:27" x14ac:dyDescent="0.2">
      <c r="A38" s="457" t="s">
        <v>940</v>
      </c>
      <c r="B38" s="991">
        <v>79</v>
      </c>
      <c r="C38" s="991">
        <v>2.6</v>
      </c>
      <c r="D38" s="991">
        <v>8.3000000000000007</v>
      </c>
      <c r="E38" s="991">
        <v>4</v>
      </c>
      <c r="F38" s="991">
        <v>51</v>
      </c>
      <c r="G38" s="991">
        <v>88</v>
      </c>
      <c r="H38" s="991">
        <v>96</v>
      </c>
      <c r="I38" s="991">
        <v>54.4</v>
      </c>
      <c r="J38" s="991">
        <v>8.9</v>
      </c>
      <c r="K38" s="991">
        <v>1.8</v>
      </c>
      <c r="L38" s="991">
        <v>1.9</v>
      </c>
      <c r="M38" s="991">
        <v>76.8</v>
      </c>
      <c r="O38" s="984" t="str">
        <f t="shared" si="13"/>
        <v>Hero Baby Prematuur Start</v>
      </c>
      <c r="P38" s="983">
        <f t="shared" si="1"/>
        <v>0.79</v>
      </c>
      <c r="Q38" s="983">
        <f t="shared" si="2"/>
        <v>2.6000000000000002E-2</v>
      </c>
      <c r="R38" s="983">
        <f t="shared" si="3"/>
        <v>8.3000000000000004E-2</v>
      </c>
      <c r="S38" s="983">
        <f t="shared" si="4"/>
        <v>0.04</v>
      </c>
      <c r="T38" s="983">
        <f t="shared" si="5"/>
        <v>2.2173780000000001E-2</v>
      </c>
      <c r="U38" s="983">
        <f t="shared" si="6"/>
        <v>2.256408E-2</v>
      </c>
      <c r="V38" s="983">
        <f t="shared" si="7"/>
        <v>2.3903999999999995E-2</v>
      </c>
      <c r="W38" s="983">
        <f t="shared" si="8"/>
        <v>1.7565215999999998E-2</v>
      </c>
      <c r="X38" s="983">
        <f t="shared" si="9"/>
        <v>3.6615490000000001E-3</v>
      </c>
      <c r="Y38" s="983">
        <f t="shared" si="10"/>
        <v>3.2219999999999997E-4</v>
      </c>
      <c r="Z38" s="983">
        <f t="shared" si="11"/>
        <v>0.76</v>
      </c>
      <c r="AA38" s="983">
        <f t="shared" si="12"/>
        <v>2.1662207999999995E-2</v>
      </c>
    </row>
    <row r="39" spans="1:27" x14ac:dyDescent="0.2">
      <c r="A39" s="984" t="s">
        <v>5062</v>
      </c>
      <c r="B39" s="983">
        <v>0</v>
      </c>
      <c r="C39" s="983">
        <v>0</v>
      </c>
      <c r="D39" s="983">
        <v>0</v>
      </c>
      <c r="E39" s="983">
        <v>0</v>
      </c>
      <c r="F39" s="983">
        <v>0</v>
      </c>
      <c r="G39" s="983">
        <v>0</v>
      </c>
      <c r="H39" s="983">
        <v>0</v>
      </c>
      <c r="I39" s="983">
        <v>0</v>
      </c>
      <c r="J39" s="983">
        <v>0</v>
      </c>
      <c r="K39" s="983">
        <v>0</v>
      </c>
      <c r="L39" s="983">
        <v>0</v>
      </c>
      <c r="M39" s="983">
        <v>0</v>
      </c>
      <c r="O39" s="984" t="str">
        <f t="shared" si="13"/>
        <v>Speciale Voeding</v>
      </c>
      <c r="P39" s="983">
        <f t="shared" ref="P39" si="14">VLOOKUP(P$3,Tbl_Glob_Conversie,2,FALSE)*B39/100</f>
        <v>0</v>
      </c>
      <c r="Q39" s="983">
        <f t="shared" ref="Q39" si="15">VLOOKUP(Q$3,Tbl_Glob_Conversie,2,FALSE)*C39/100</f>
        <v>0</v>
      </c>
      <c r="R39" s="983">
        <f t="shared" ref="R39" si="16">VLOOKUP(R$3,Tbl_Glob_Conversie,2,FALSE)*D39/100</f>
        <v>0</v>
      </c>
      <c r="S39" s="983">
        <f t="shared" ref="S39" si="17">VLOOKUP(S$3,Tbl_Glob_Conversie,2,FALSE)*E39/100</f>
        <v>0</v>
      </c>
      <c r="T39" s="983">
        <f t="shared" ref="T39" si="18">VLOOKUP(T$3,Tbl_Glob_Conversie,2,FALSE)*F39/100</f>
        <v>0</v>
      </c>
      <c r="U39" s="983">
        <f t="shared" ref="U39" si="19">VLOOKUP(U$3,Tbl_Glob_Conversie,2,FALSE)*G39/100</f>
        <v>0</v>
      </c>
      <c r="V39" s="983">
        <f t="shared" ref="V39" si="20">VLOOKUP(V$3,Tbl_Glob_Conversie,2,FALSE)*H39/100</f>
        <v>0</v>
      </c>
      <c r="W39" s="983">
        <f t="shared" ref="W39" si="21">VLOOKUP(W$3,Tbl_Glob_Conversie,2,FALSE)*I39/100</f>
        <v>0</v>
      </c>
      <c r="X39" s="983">
        <f t="shared" ref="X39" si="22">VLOOKUP(X$3,Tbl_Glob_Conversie,2,FALSE)*J39/100</f>
        <v>0</v>
      </c>
      <c r="Y39" s="983">
        <f t="shared" ref="Y39" si="23">VLOOKUP(Y$3,Tbl_Glob_Conversie,2,FALSE)*K39/100</f>
        <v>0</v>
      </c>
      <c r="Z39" s="983">
        <f t="shared" ref="Z39" si="24">VLOOKUP(Z$3,Tbl_Glob_Conversie,2,FALSE)*L39/100</f>
        <v>0</v>
      </c>
      <c r="AA39" s="983">
        <f t="shared" ref="AA39" si="25">VLOOKUP(AA$3,Tbl_Glob_Conversie,2,FALSE)*M39/100</f>
        <v>0</v>
      </c>
    </row>
    <row r="40" spans="1:27" x14ac:dyDescent="0.2">
      <c r="A40" s="984"/>
      <c r="R40" s="984"/>
    </row>
    <row r="41" spans="1:27" x14ac:dyDescent="0.2">
      <c r="A41" s="984"/>
    </row>
    <row r="42" spans="1:27" x14ac:dyDescent="0.2">
      <c r="A42" s="984"/>
    </row>
    <row r="43" spans="1:27" x14ac:dyDescent="0.2">
      <c r="A43" s="982" t="s">
        <v>1094</v>
      </c>
      <c r="B43" s="983" t="s">
        <v>5065</v>
      </c>
      <c r="P43" s="983" t="s">
        <v>5043</v>
      </c>
    </row>
    <row r="44" spans="1:27" x14ac:dyDescent="0.2">
      <c r="C44" s="984" t="s">
        <v>31</v>
      </c>
      <c r="D44" s="984" t="s">
        <v>31</v>
      </c>
      <c r="E44" s="984" t="s">
        <v>31</v>
      </c>
      <c r="F44" s="984" t="s">
        <v>159</v>
      </c>
      <c r="G44" s="984" t="s">
        <v>159</v>
      </c>
      <c r="H44" s="984" t="s">
        <v>159</v>
      </c>
      <c r="I44" s="984" t="s">
        <v>159</v>
      </c>
      <c r="J44" s="984" t="s">
        <v>159</v>
      </c>
      <c r="K44" s="984" t="s">
        <v>159</v>
      </c>
      <c r="L44" s="984" t="s">
        <v>861</v>
      </c>
      <c r="M44" s="984" t="s">
        <v>159</v>
      </c>
      <c r="N44" s="984"/>
      <c r="O44" s="985" t="s">
        <v>5047</v>
      </c>
      <c r="P44" s="984">
        <v>2</v>
      </c>
      <c r="Q44" s="984">
        <v>3</v>
      </c>
      <c r="R44" s="984">
        <v>4</v>
      </c>
      <c r="S44" s="984">
        <v>5</v>
      </c>
      <c r="T44" s="984">
        <v>6</v>
      </c>
      <c r="U44" s="984">
        <v>7</v>
      </c>
      <c r="V44" s="984">
        <v>8</v>
      </c>
      <c r="W44" s="984">
        <v>9</v>
      </c>
      <c r="X44" s="984">
        <v>10</v>
      </c>
      <c r="Y44" s="984">
        <v>11</v>
      </c>
      <c r="Z44" s="984">
        <v>12</v>
      </c>
      <c r="AA44" s="984">
        <v>13</v>
      </c>
    </row>
    <row r="45" spans="1:27" x14ac:dyDescent="0.2">
      <c r="A45" s="984"/>
      <c r="B45" s="984" t="s">
        <v>227</v>
      </c>
      <c r="C45" s="984" t="s">
        <v>221</v>
      </c>
      <c r="D45" s="984" t="s">
        <v>521</v>
      </c>
      <c r="E45" s="984" t="s">
        <v>522</v>
      </c>
      <c r="F45" s="984" t="s">
        <v>222</v>
      </c>
      <c r="G45" s="984" t="s">
        <v>223</v>
      </c>
      <c r="H45" s="984" t="s">
        <v>224</v>
      </c>
      <c r="I45" s="984" t="s">
        <v>520</v>
      </c>
      <c r="J45" s="984" t="s">
        <v>225</v>
      </c>
      <c r="K45" s="984" t="s">
        <v>859</v>
      </c>
      <c r="L45" s="984" t="s">
        <v>860</v>
      </c>
      <c r="M45" s="984" t="s">
        <v>574</v>
      </c>
      <c r="N45" s="984"/>
      <c r="O45" s="984"/>
      <c r="P45" s="984" t="s">
        <v>227</v>
      </c>
      <c r="Q45" s="984" t="s">
        <v>189</v>
      </c>
      <c r="R45" s="984" t="s">
        <v>228</v>
      </c>
      <c r="S45" s="984" t="s">
        <v>190</v>
      </c>
      <c r="T45" s="984" t="s">
        <v>222</v>
      </c>
      <c r="U45" s="984" t="s">
        <v>223</v>
      </c>
      <c r="V45" s="984" t="s">
        <v>224</v>
      </c>
      <c r="W45" s="984" t="s">
        <v>229</v>
      </c>
      <c r="X45" s="984" t="s">
        <v>225</v>
      </c>
      <c r="Y45" s="984" t="s">
        <v>859</v>
      </c>
      <c r="Z45" s="984" t="s">
        <v>860</v>
      </c>
      <c r="AA45" s="984" t="s">
        <v>574</v>
      </c>
    </row>
    <row r="46" spans="1:27" x14ac:dyDescent="0.2">
      <c r="A46" s="984"/>
      <c r="B46" s="984" t="s">
        <v>227</v>
      </c>
      <c r="C46" s="984" t="s">
        <v>189</v>
      </c>
      <c r="D46" s="984" t="s">
        <v>228</v>
      </c>
      <c r="E46" s="984" t="s">
        <v>190</v>
      </c>
      <c r="F46" s="984" t="s">
        <v>222</v>
      </c>
      <c r="G46" s="984" t="s">
        <v>223</v>
      </c>
      <c r="H46" s="984" t="s">
        <v>224</v>
      </c>
      <c r="I46" s="984" t="s">
        <v>229</v>
      </c>
      <c r="J46" s="984" t="s">
        <v>225</v>
      </c>
      <c r="K46" s="984" t="s">
        <v>859</v>
      </c>
      <c r="L46" s="984" t="s">
        <v>860</v>
      </c>
      <c r="M46" s="984" t="s">
        <v>574</v>
      </c>
      <c r="N46" s="984"/>
      <c r="O46" s="984"/>
      <c r="P46" s="983" t="str">
        <f t="shared" ref="P46:AA46" si="26">VLOOKUP(P45,Tbl_Glob_Conversie,3,FALSE)</f>
        <v>kcal</v>
      </c>
      <c r="Q46" s="983" t="str">
        <f t="shared" si="26"/>
        <v>gram</v>
      </c>
      <c r="R46" s="983" t="str">
        <f t="shared" si="26"/>
        <v>gram</v>
      </c>
      <c r="S46" s="983" t="str">
        <f t="shared" si="26"/>
        <v>gram</v>
      </c>
      <c r="T46" s="983" t="str">
        <f t="shared" si="26"/>
        <v>mmol</v>
      </c>
      <c r="U46" s="983" t="str">
        <f t="shared" si="26"/>
        <v>mmol</v>
      </c>
      <c r="V46" s="983" t="str">
        <f t="shared" si="26"/>
        <v>mmol</v>
      </c>
      <c r="W46" s="983" t="str">
        <f t="shared" si="26"/>
        <v>mmol</v>
      </c>
      <c r="X46" s="983" t="str">
        <f t="shared" si="26"/>
        <v>mmol</v>
      </c>
      <c r="Y46" s="983" t="str">
        <f t="shared" si="26"/>
        <v>mmol</v>
      </c>
      <c r="Z46" s="983" t="str">
        <f t="shared" si="26"/>
        <v>IE</v>
      </c>
      <c r="AA46" s="983" t="str">
        <f t="shared" si="26"/>
        <v>mmol</v>
      </c>
    </row>
    <row r="47" spans="1:27" x14ac:dyDescent="0.2">
      <c r="A47" s="984"/>
    </row>
    <row r="48" spans="1:27" x14ac:dyDescent="0.2">
      <c r="A48" s="457" t="s">
        <v>580</v>
      </c>
      <c r="B48" s="457">
        <v>347</v>
      </c>
      <c r="C48" s="457">
        <v>25.2</v>
      </c>
      <c r="D48" s="986">
        <v>62.2</v>
      </c>
      <c r="E48" s="986">
        <v>0</v>
      </c>
      <c r="F48" s="457">
        <v>803</v>
      </c>
      <c r="G48" s="457">
        <v>528</v>
      </c>
      <c r="H48" s="457">
        <v>1491</v>
      </c>
      <c r="I48" s="457">
        <v>872</v>
      </c>
      <c r="J48" s="457">
        <v>115</v>
      </c>
      <c r="K48" s="986">
        <v>0</v>
      </c>
      <c r="L48" s="457">
        <v>115</v>
      </c>
      <c r="M48" s="457">
        <v>573</v>
      </c>
      <c r="N48" s="984"/>
      <c r="O48" s="984" t="str">
        <f>A48</f>
        <v>Nutrilon Nenatal BMF</v>
      </c>
      <c r="P48" s="983">
        <f t="shared" ref="P48:P70" si="27">VLOOKUP(P$45,Tbl_Glob_Conversie,2,FALSE)*B48/100</f>
        <v>3.47</v>
      </c>
      <c r="Q48" s="983">
        <f t="shared" ref="Q48:Q70" si="28">VLOOKUP(Q$45,Tbl_Glob_Conversie,2,FALSE)*C48/100</f>
        <v>0.252</v>
      </c>
      <c r="R48" s="983">
        <f t="shared" ref="R48:R70" si="29">VLOOKUP(R$45,Tbl_Glob_Conversie,2,FALSE)*D48/100</f>
        <v>0.622</v>
      </c>
      <c r="S48" s="983">
        <f t="shared" ref="S48:S70" si="30">VLOOKUP(S$45,Tbl_Glob_Conversie,2,FALSE)*E48/100</f>
        <v>0</v>
      </c>
      <c r="T48" s="983">
        <f t="shared" ref="T48:T70" si="31">VLOOKUP(T$45,Tbl_Glob_Conversie,2,FALSE)*F48/100</f>
        <v>0.34912834000000004</v>
      </c>
      <c r="U48" s="983">
        <f t="shared" ref="U48:U70" si="32">VLOOKUP(U$45,Tbl_Glob_Conversie,2,FALSE)*G48/100</f>
        <v>0.13538448</v>
      </c>
      <c r="V48" s="983">
        <f t="shared" ref="V48:V70" si="33">VLOOKUP(V$45,Tbl_Glob_Conversie,2,FALSE)*H48/100</f>
        <v>0.37125899999999995</v>
      </c>
      <c r="W48" s="983">
        <f t="shared" ref="W48:W70" si="34">VLOOKUP(W$45,Tbl_Glob_Conversie,2,FALSE)*I48/100</f>
        <v>0.28156007999999999</v>
      </c>
      <c r="X48" s="983">
        <f t="shared" ref="X48:X70" si="35">VLOOKUP(X$45,Tbl_Glob_Conversie,2,FALSE)*J48/100</f>
        <v>4.7312149999999997E-2</v>
      </c>
      <c r="Y48" s="983">
        <f t="shared" ref="Y48:Y70" si="36">VLOOKUP(Y$45,Tbl_Glob_Conversie,2,FALSE)*K48/100</f>
        <v>0</v>
      </c>
      <c r="Z48" s="983">
        <f t="shared" ref="Z48:Z70" si="37">VLOOKUP(Z$45,Tbl_Glob_Conversie,2,FALSE)*L48/100</f>
        <v>46</v>
      </c>
      <c r="AA48" s="983">
        <f t="shared" ref="AA48:AA70" si="38">VLOOKUP(AA$45,Tbl_Glob_Conversie,2,FALSE)*M48/100</f>
        <v>0.16162037999999998</v>
      </c>
    </row>
    <row r="49" spans="1:27" x14ac:dyDescent="0.2">
      <c r="A49" s="457" t="s">
        <v>869</v>
      </c>
      <c r="B49" s="457">
        <v>509</v>
      </c>
      <c r="C49" s="457">
        <v>10</v>
      </c>
      <c r="D49" s="986">
        <v>56</v>
      </c>
      <c r="E49" s="986">
        <v>27</v>
      </c>
      <c r="F49" s="457">
        <v>120</v>
      </c>
      <c r="G49" s="457">
        <v>462</v>
      </c>
      <c r="H49" s="457">
        <v>338</v>
      </c>
      <c r="I49" s="457">
        <v>200</v>
      </c>
      <c r="J49" s="457">
        <v>30.8</v>
      </c>
      <c r="K49" s="988">
        <v>3.1</v>
      </c>
      <c r="L49" s="987">
        <v>9.1999999999999993</v>
      </c>
      <c r="M49" s="987">
        <v>308</v>
      </c>
      <c r="N49" s="992"/>
      <c r="O49" s="984" t="str">
        <f t="shared" ref="O49:O70" si="39">A49</f>
        <v>Hero Baby 1 NS Standaard</v>
      </c>
      <c r="P49" s="983">
        <f t="shared" si="27"/>
        <v>5.09</v>
      </c>
      <c r="Q49" s="983">
        <f t="shared" si="28"/>
        <v>0.1</v>
      </c>
      <c r="R49" s="983">
        <f t="shared" si="29"/>
        <v>0.56000000000000005</v>
      </c>
      <c r="S49" s="983">
        <f t="shared" si="30"/>
        <v>0.27</v>
      </c>
      <c r="T49" s="983">
        <f t="shared" si="31"/>
        <v>5.2173600000000001E-2</v>
      </c>
      <c r="U49" s="983">
        <f t="shared" si="32"/>
        <v>0.11846142</v>
      </c>
      <c r="V49" s="983">
        <f t="shared" si="33"/>
        <v>8.4162000000000001E-2</v>
      </c>
      <c r="W49" s="983">
        <f t="shared" si="34"/>
        <v>6.4577999999999997E-2</v>
      </c>
      <c r="X49" s="983">
        <f t="shared" si="35"/>
        <v>1.2671428E-2</v>
      </c>
      <c r="Y49" s="983">
        <f t="shared" si="36"/>
        <v>5.5489999999999999E-4</v>
      </c>
      <c r="Z49" s="983">
        <f t="shared" si="37"/>
        <v>3.68</v>
      </c>
      <c r="AA49" s="983">
        <f t="shared" si="38"/>
        <v>8.6874480000000004E-2</v>
      </c>
    </row>
    <row r="50" spans="1:27" x14ac:dyDescent="0.2">
      <c r="A50" s="457" t="s">
        <v>870</v>
      </c>
      <c r="B50" s="457">
        <v>470</v>
      </c>
      <c r="C50" s="457">
        <v>9.5</v>
      </c>
      <c r="D50" s="986">
        <v>64</v>
      </c>
      <c r="E50" s="986">
        <v>19</v>
      </c>
      <c r="F50" s="457">
        <v>160</v>
      </c>
      <c r="G50" s="457">
        <v>554</v>
      </c>
      <c r="H50" s="457">
        <v>405</v>
      </c>
      <c r="I50" s="457">
        <v>243</v>
      </c>
      <c r="J50" s="457">
        <v>52</v>
      </c>
      <c r="K50" s="988">
        <v>8.1999999999999993</v>
      </c>
      <c r="L50" s="987">
        <v>8.6</v>
      </c>
      <c r="M50" s="987">
        <v>297</v>
      </c>
      <c r="N50" s="992"/>
      <c r="O50" s="984" t="str">
        <f t="shared" si="39"/>
        <v>Hero Baby 2 NS Standaard</v>
      </c>
      <c r="P50" s="983">
        <f t="shared" si="27"/>
        <v>4.7</v>
      </c>
      <c r="Q50" s="983">
        <f t="shared" si="28"/>
        <v>9.5000000000000001E-2</v>
      </c>
      <c r="R50" s="983">
        <f t="shared" si="29"/>
        <v>0.64</v>
      </c>
      <c r="S50" s="983">
        <f t="shared" si="30"/>
        <v>0.19</v>
      </c>
      <c r="T50" s="983">
        <f t="shared" si="31"/>
        <v>6.956480000000001E-2</v>
      </c>
      <c r="U50" s="983">
        <f t="shared" si="32"/>
        <v>0.14205113999999999</v>
      </c>
      <c r="V50" s="983">
        <f t="shared" si="33"/>
        <v>0.100845</v>
      </c>
      <c r="W50" s="983">
        <f t="shared" si="34"/>
        <v>7.8462270000000001E-2</v>
      </c>
      <c r="X50" s="983">
        <f t="shared" si="35"/>
        <v>2.139332E-2</v>
      </c>
      <c r="Y50" s="983">
        <f t="shared" si="36"/>
        <v>1.4678E-3</v>
      </c>
      <c r="Z50" s="983">
        <f t="shared" si="37"/>
        <v>3.44</v>
      </c>
      <c r="AA50" s="983">
        <f t="shared" si="38"/>
        <v>8.3771819999999997E-2</v>
      </c>
    </row>
    <row r="51" spans="1:27" x14ac:dyDescent="0.2">
      <c r="A51" s="457" t="s">
        <v>871</v>
      </c>
      <c r="B51" s="457">
        <v>503</v>
      </c>
      <c r="C51" s="457">
        <v>11</v>
      </c>
      <c r="D51" s="986">
        <v>52</v>
      </c>
      <c r="E51" s="986">
        <v>27</v>
      </c>
      <c r="F51" s="457">
        <v>120</v>
      </c>
      <c r="G51" s="457">
        <v>462</v>
      </c>
      <c r="H51" s="457">
        <v>338</v>
      </c>
      <c r="I51" s="457">
        <v>200</v>
      </c>
      <c r="J51" s="993">
        <v>30.8</v>
      </c>
      <c r="K51" s="994">
        <v>3.1</v>
      </c>
      <c r="L51" s="995">
        <v>9.1999999999999993</v>
      </c>
      <c r="M51" s="995">
        <v>308</v>
      </c>
      <c r="N51" s="996"/>
      <c r="O51" s="984" t="str">
        <f t="shared" si="39"/>
        <v>Hero Baby 1 NS Comfort</v>
      </c>
      <c r="P51" s="983">
        <f t="shared" si="27"/>
        <v>5.03</v>
      </c>
      <c r="Q51" s="983">
        <f t="shared" si="28"/>
        <v>0.11</v>
      </c>
      <c r="R51" s="983">
        <f t="shared" si="29"/>
        <v>0.52</v>
      </c>
      <c r="S51" s="983">
        <f t="shared" si="30"/>
        <v>0.27</v>
      </c>
      <c r="T51" s="983">
        <f t="shared" si="31"/>
        <v>5.2173600000000001E-2</v>
      </c>
      <c r="U51" s="983">
        <f t="shared" si="32"/>
        <v>0.11846142</v>
      </c>
      <c r="V51" s="983">
        <f t="shared" si="33"/>
        <v>8.4162000000000001E-2</v>
      </c>
      <c r="W51" s="983">
        <f t="shared" si="34"/>
        <v>6.4577999999999997E-2</v>
      </c>
      <c r="X51" s="983">
        <f t="shared" si="35"/>
        <v>1.2671428E-2</v>
      </c>
      <c r="Y51" s="983">
        <f t="shared" si="36"/>
        <v>5.5489999999999999E-4</v>
      </c>
      <c r="Z51" s="983">
        <f t="shared" si="37"/>
        <v>3.68</v>
      </c>
      <c r="AA51" s="983">
        <f t="shared" si="38"/>
        <v>8.6874480000000004E-2</v>
      </c>
    </row>
    <row r="52" spans="1:27" x14ac:dyDescent="0.2">
      <c r="A52" s="457" t="s">
        <v>872</v>
      </c>
      <c r="B52" s="457">
        <v>503</v>
      </c>
      <c r="C52" s="457">
        <v>11</v>
      </c>
      <c r="D52" s="986">
        <v>52</v>
      </c>
      <c r="E52" s="986">
        <v>27</v>
      </c>
      <c r="F52" s="457">
        <v>120</v>
      </c>
      <c r="G52" s="457">
        <v>462</v>
      </c>
      <c r="H52" s="457">
        <v>338</v>
      </c>
      <c r="I52" s="457">
        <v>200</v>
      </c>
      <c r="J52" s="993">
        <v>30.8</v>
      </c>
      <c r="K52" s="994">
        <v>8.5</v>
      </c>
      <c r="L52" s="995">
        <v>9.1999999999999993</v>
      </c>
      <c r="M52" s="995">
        <v>308</v>
      </c>
      <c r="N52" s="996"/>
      <c r="O52" s="984" t="str">
        <f t="shared" si="39"/>
        <v>Hero Baby 2 NS Comfort</v>
      </c>
      <c r="P52" s="983">
        <f t="shared" si="27"/>
        <v>5.03</v>
      </c>
      <c r="Q52" s="983">
        <f t="shared" si="28"/>
        <v>0.11</v>
      </c>
      <c r="R52" s="983">
        <f t="shared" si="29"/>
        <v>0.52</v>
      </c>
      <c r="S52" s="983">
        <f t="shared" si="30"/>
        <v>0.27</v>
      </c>
      <c r="T52" s="983">
        <f t="shared" si="31"/>
        <v>5.2173600000000001E-2</v>
      </c>
      <c r="U52" s="983">
        <f t="shared" si="32"/>
        <v>0.11846142</v>
      </c>
      <c r="V52" s="983">
        <f t="shared" si="33"/>
        <v>8.4162000000000001E-2</v>
      </c>
      <c r="W52" s="983">
        <f t="shared" si="34"/>
        <v>6.4577999999999997E-2</v>
      </c>
      <c r="X52" s="983">
        <f t="shared" si="35"/>
        <v>1.2671428E-2</v>
      </c>
      <c r="Y52" s="983">
        <f t="shared" si="36"/>
        <v>1.5215000000000001E-3</v>
      </c>
      <c r="Z52" s="983">
        <f t="shared" si="37"/>
        <v>3.68</v>
      </c>
      <c r="AA52" s="983">
        <f t="shared" si="38"/>
        <v>8.6874480000000004E-2</v>
      </c>
    </row>
    <row r="53" spans="1:27" x14ac:dyDescent="0.2">
      <c r="A53" s="457" t="s">
        <v>873</v>
      </c>
      <c r="B53" s="457">
        <v>493</v>
      </c>
      <c r="C53" s="457">
        <v>13</v>
      </c>
      <c r="D53" s="986">
        <v>53</v>
      </c>
      <c r="E53" s="986">
        <v>26</v>
      </c>
      <c r="F53" s="457">
        <v>204</v>
      </c>
      <c r="G53" s="457">
        <v>550</v>
      </c>
      <c r="H53" s="457">
        <v>400</v>
      </c>
      <c r="I53" s="457">
        <v>230</v>
      </c>
      <c r="J53" s="457">
        <v>50</v>
      </c>
      <c r="K53" s="994">
        <v>3.5</v>
      </c>
      <c r="L53" s="995">
        <v>7.8</v>
      </c>
      <c r="M53" s="995">
        <v>315</v>
      </c>
      <c r="N53" s="996"/>
      <c r="O53" s="984" t="str">
        <f t="shared" si="39"/>
        <v>Hero Baby 1 NS Pep</v>
      </c>
      <c r="P53" s="983">
        <f t="shared" si="27"/>
        <v>4.93</v>
      </c>
      <c r="Q53" s="983">
        <f t="shared" si="28"/>
        <v>0.13</v>
      </c>
      <c r="R53" s="983">
        <f t="shared" si="29"/>
        <v>0.53</v>
      </c>
      <c r="S53" s="983">
        <f t="shared" si="30"/>
        <v>0.26</v>
      </c>
      <c r="T53" s="983">
        <f t="shared" si="31"/>
        <v>8.8695120000000002E-2</v>
      </c>
      <c r="U53" s="983">
        <f t="shared" si="32"/>
        <v>0.1410255</v>
      </c>
      <c r="V53" s="983">
        <f t="shared" si="33"/>
        <v>9.9599999999999994E-2</v>
      </c>
      <c r="W53" s="983">
        <f t="shared" si="34"/>
        <v>7.4264699999999989E-2</v>
      </c>
      <c r="X53" s="983">
        <f t="shared" si="35"/>
        <v>2.0570499999999999E-2</v>
      </c>
      <c r="Y53" s="983">
        <f t="shared" si="36"/>
        <v>6.265E-4</v>
      </c>
      <c r="Z53" s="983">
        <f t="shared" si="37"/>
        <v>3.12</v>
      </c>
      <c r="AA53" s="983">
        <f t="shared" si="38"/>
        <v>8.8848899999999981E-2</v>
      </c>
    </row>
    <row r="54" spans="1:27" x14ac:dyDescent="0.2">
      <c r="A54" s="457" t="s">
        <v>874</v>
      </c>
      <c r="B54" s="457">
        <v>493</v>
      </c>
      <c r="C54" s="457">
        <v>13</v>
      </c>
      <c r="D54" s="986">
        <v>53</v>
      </c>
      <c r="E54" s="986">
        <v>26</v>
      </c>
      <c r="F54" s="457">
        <v>204</v>
      </c>
      <c r="G54" s="457">
        <v>550</v>
      </c>
      <c r="H54" s="457">
        <v>400</v>
      </c>
      <c r="I54" s="457">
        <v>230</v>
      </c>
      <c r="J54" s="457">
        <v>50</v>
      </c>
      <c r="K54" s="994">
        <v>7.1</v>
      </c>
      <c r="L54" s="995">
        <v>7.8</v>
      </c>
      <c r="M54" s="995">
        <v>315</v>
      </c>
      <c r="N54" s="996"/>
      <c r="O54" s="984" t="str">
        <f t="shared" si="39"/>
        <v>Hero Baby 2 NS Pep</v>
      </c>
      <c r="P54" s="983">
        <f t="shared" si="27"/>
        <v>4.93</v>
      </c>
      <c r="Q54" s="983">
        <f t="shared" si="28"/>
        <v>0.13</v>
      </c>
      <c r="R54" s="983">
        <f t="shared" si="29"/>
        <v>0.53</v>
      </c>
      <c r="S54" s="983">
        <f t="shared" si="30"/>
        <v>0.26</v>
      </c>
      <c r="T54" s="983">
        <f t="shared" si="31"/>
        <v>8.8695120000000002E-2</v>
      </c>
      <c r="U54" s="983">
        <f t="shared" si="32"/>
        <v>0.1410255</v>
      </c>
      <c r="V54" s="983">
        <f t="shared" si="33"/>
        <v>9.9599999999999994E-2</v>
      </c>
      <c r="W54" s="983">
        <f t="shared" si="34"/>
        <v>7.4264699999999989E-2</v>
      </c>
      <c r="X54" s="983">
        <f t="shared" si="35"/>
        <v>2.0570499999999999E-2</v>
      </c>
      <c r="Y54" s="983">
        <f t="shared" si="36"/>
        <v>1.2708999999999997E-3</v>
      </c>
      <c r="Z54" s="983">
        <f t="shared" si="37"/>
        <v>3.12</v>
      </c>
      <c r="AA54" s="983">
        <f t="shared" si="38"/>
        <v>8.8848899999999981E-2</v>
      </c>
    </row>
    <row r="55" spans="1:27" x14ac:dyDescent="0.2">
      <c r="A55" s="457" t="s">
        <v>875</v>
      </c>
      <c r="B55" s="457">
        <v>500</v>
      </c>
      <c r="C55" s="457">
        <v>14</v>
      </c>
      <c r="D55" s="986">
        <v>55</v>
      </c>
      <c r="E55" s="986">
        <v>25</v>
      </c>
      <c r="F55" s="457">
        <v>240</v>
      </c>
      <c r="G55" s="457">
        <v>610</v>
      </c>
      <c r="H55" s="457">
        <v>565</v>
      </c>
      <c r="I55" s="457">
        <v>390</v>
      </c>
      <c r="J55" s="457">
        <v>50</v>
      </c>
      <c r="K55" s="988">
        <v>9</v>
      </c>
      <c r="L55" s="987">
        <v>7.5</v>
      </c>
      <c r="M55" s="987">
        <v>480</v>
      </c>
      <c r="N55" s="992"/>
      <c r="O55" s="984" t="str">
        <f t="shared" si="39"/>
        <v>Nutramigen 1 LGG pdr</v>
      </c>
      <c r="P55" s="983">
        <f t="shared" si="27"/>
        <v>5</v>
      </c>
      <c r="Q55" s="983">
        <f t="shared" si="28"/>
        <v>0.14000000000000001</v>
      </c>
      <c r="R55" s="983">
        <f t="shared" si="29"/>
        <v>0.55000000000000004</v>
      </c>
      <c r="S55" s="983">
        <f t="shared" si="30"/>
        <v>0.25</v>
      </c>
      <c r="T55" s="983">
        <f t="shared" si="31"/>
        <v>0.1043472</v>
      </c>
      <c r="U55" s="983">
        <f t="shared" si="32"/>
        <v>0.1564101</v>
      </c>
      <c r="V55" s="983">
        <f t="shared" si="33"/>
        <v>0.14068499999999998</v>
      </c>
      <c r="W55" s="983">
        <f t="shared" si="34"/>
        <v>0.12592709999999999</v>
      </c>
      <c r="X55" s="983">
        <f t="shared" si="35"/>
        <v>2.0570499999999999E-2</v>
      </c>
      <c r="Y55" s="983">
        <f t="shared" si="36"/>
        <v>1.611E-3</v>
      </c>
      <c r="Z55" s="983">
        <f t="shared" si="37"/>
        <v>3</v>
      </c>
      <c r="AA55" s="983">
        <f t="shared" si="38"/>
        <v>0.13538879999999998</v>
      </c>
    </row>
    <row r="56" spans="1:27" x14ac:dyDescent="0.2">
      <c r="A56" s="457" t="s">
        <v>37</v>
      </c>
      <c r="B56" s="457">
        <v>466</v>
      </c>
      <c r="C56" s="457">
        <v>11.6</v>
      </c>
      <c r="D56" s="986">
        <v>59</v>
      </c>
      <c r="E56" s="986">
        <v>20</v>
      </c>
      <c r="F56" s="457">
        <v>172</v>
      </c>
      <c r="G56" s="457">
        <v>568</v>
      </c>
      <c r="H56" s="457">
        <v>638</v>
      </c>
      <c r="I56" s="457">
        <v>336</v>
      </c>
      <c r="J56" s="457">
        <v>47</v>
      </c>
      <c r="K56" s="988">
        <v>8.1999999999999993</v>
      </c>
      <c r="L56" s="987">
        <v>7.3</v>
      </c>
      <c r="M56" s="987">
        <v>373</v>
      </c>
      <c r="N56" s="992"/>
      <c r="O56" s="984" t="str">
        <f t="shared" si="39"/>
        <v>Nutramigen 2 LGG pdr</v>
      </c>
      <c r="P56" s="983">
        <f t="shared" si="27"/>
        <v>4.66</v>
      </c>
      <c r="Q56" s="983">
        <f t="shared" si="28"/>
        <v>0.11599999999999999</v>
      </c>
      <c r="R56" s="983">
        <f t="shared" si="29"/>
        <v>0.59</v>
      </c>
      <c r="S56" s="983">
        <f t="shared" si="30"/>
        <v>0.2</v>
      </c>
      <c r="T56" s="983">
        <f t="shared" si="31"/>
        <v>7.478216E-2</v>
      </c>
      <c r="U56" s="983">
        <f t="shared" si="32"/>
        <v>0.14564088</v>
      </c>
      <c r="V56" s="983">
        <f t="shared" si="33"/>
        <v>0.15886199999999998</v>
      </c>
      <c r="W56" s="983">
        <f t="shared" si="34"/>
        <v>0.10849103999999998</v>
      </c>
      <c r="X56" s="983">
        <f t="shared" si="35"/>
        <v>1.9336269999999999E-2</v>
      </c>
      <c r="Y56" s="983">
        <f t="shared" si="36"/>
        <v>1.4678E-3</v>
      </c>
      <c r="Z56" s="983">
        <f t="shared" si="37"/>
        <v>2.92</v>
      </c>
      <c r="AA56" s="983">
        <f t="shared" si="38"/>
        <v>0.10520837999999999</v>
      </c>
    </row>
    <row r="57" spans="1:27" x14ac:dyDescent="0.2">
      <c r="A57" s="457" t="s">
        <v>876</v>
      </c>
      <c r="B57" s="457">
        <v>402</v>
      </c>
      <c r="C57" s="457">
        <v>14.7</v>
      </c>
      <c r="D57" s="986">
        <v>71</v>
      </c>
      <c r="E57" s="986">
        <v>6.7</v>
      </c>
      <c r="F57" s="457">
        <v>402</v>
      </c>
      <c r="G57" s="457">
        <v>603</v>
      </c>
      <c r="H57" s="457">
        <v>322</v>
      </c>
      <c r="I57" s="457">
        <v>267</v>
      </c>
      <c r="J57" s="457">
        <v>84</v>
      </c>
      <c r="K57" s="988">
        <v>6.4</v>
      </c>
      <c r="L57" s="987">
        <v>2.8</v>
      </c>
      <c r="M57" s="987">
        <v>503</v>
      </c>
      <c r="N57" s="992"/>
      <c r="O57" s="984" t="str">
        <f t="shared" si="39"/>
        <v>Nutrison Advanced Peptisorb Powder</v>
      </c>
      <c r="P57" s="983">
        <f t="shared" si="27"/>
        <v>4.0199999999999996</v>
      </c>
      <c r="Q57" s="983">
        <f t="shared" si="28"/>
        <v>0.14699999999999999</v>
      </c>
      <c r="R57" s="983">
        <f t="shared" si="29"/>
        <v>0.71</v>
      </c>
      <c r="S57" s="983">
        <f t="shared" si="30"/>
        <v>6.7000000000000004E-2</v>
      </c>
      <c r="T57" s="983">
        <f t="shared" si="31"/>
        <v>0.17478156000000003</v>
      </c>
      <c r="U57" s="983">
        <f t="shared" si="32"/>
        <v>0.15461522999999999</v>
      </c>
      <c r="V57" s="983">
        <f t="shared" si="33"/>
        <v>8.0177999999999999E-2</v>
      </c>
      <c r="W57" s="983">
        <f t="shared" si="34"/>
        <v>8.6211629999999997E-2</v>
      </c>
      <c r="X57" s="983">
        <f t="shared" si="35"/>
        <v>3.4558439999999996E-2</v>
      </c>
      <c r="Y57" s="983">
        <f t="shared" si="36"/>
        <v>1.1455999999999999E-3</v>
      </c>
      <c r="Z57" s="983">
        <f t="shared" si="37"/>
        <v>1.1200000000000001</v>
      </c>
      <c r="AA57" s="983">
        <f t="shared" si="38"/>
        <v>0.14187617999999999</v>
      </c>
    </row>
    <row r="58" spans="1:27" x14ac:dyDescent="0.2">
      <c r="A58" s="457" t="s">
        <v>877</v>
      </c>
      <c r="B58" s="457">
        <v>515</v>
      </c>
      <c r="C58" s="457">
        <v>14</v>
      </c>
      <c r="D58" s="986">
        <v>53.4</v>
      </c>
      <c r="E58" s="986">
        <v>27.3</v>
      </c>
      <c r="F58" s="457">
        <v>140</v>
      </c>
      <c r="G58" s="457">
        <v>507</v>
      </c>
      <c r="H58" s="457">
        <v>390</v>
      </c>
      <c r="I58" s="457">
        <v>218</v>
      </c>
      <c r="J58" s="457">
        <v>40</v>
      </c>
      <c r="K58" s="988">
        <v>6</v>
      </c>
      <c r="L58" s="987">
        <v>9.8000000000000007</v>
      </c>
      <c r="M58" s="987">
        <v>310</v>
      </c>
      <c r="N58" s="992"/>
      <c r="O58" s="984" t="str">
        <f t="shared" si="39"/>
        <v>Nutrilon Pepti Junior pdr</v>
      </c>
      <c r="P58" s="983">
        <f t="shared" si="27"/>
        <v>5.15</v>
      </c>
      <c r="Q58" s="983">
        <f t="shared" si="28"/>
        <v>0.14000000000000001</v>
      </c>
      <c r="R58" s="983">
        <f t="shared" si="29"/>
        <v>0.53400000000000003</v>
      </c>
      <c r="S58" s="983">
        <f t="shared" si="30"/>
        <v>0.27300000000000002</v>
      </c>
      <c r="T58" s="983">
        <f t="shared" si="31"/>
        <v>6.0869199999999998E-2</v>
      </c>
      <c r="U58" s="983">
        <f t="shared" si="32"/>
        <v>0.12999987000000002</v>
      </c>
      <c r="V58" s="983">
        <f t="shared" si="33"/>
        <v>9.7110000000000002E-2</v>
      </c>
      <c r="W58" s="983">
        <f t="shared" si="34"/>
        <v>7.0390019999999998E-2</v>
      </c>
      <c r="X58" s="983">
        <f t="shared" si="35"/>
        <v>1.6456399999999996E-2</v>
      </c>
      <c r="Y58" s="983">
        <f t="shared" si="36"/>
        <v>1.0739999999999999E-3</v>
      </c>
      <c r="Z58" s="983">
        <f t="shared" si="37"/>
        <v>3.92</v>
      </c>
      <c r="AA58" s="983">
        <f t="shared" si="38"/>
        <v>8.7438599999999991E-2</v>
      </c>
    </row>
    <row r="59" spans="1:27" x14ac:dyDescent="0.2">
      <c r="A59" s="457" t="s">
        <v>878</v>
      </c>
      <c r="B59" s="457">
        <v>474</v>
      </c>
      <c r="C59" s="457">
        <v>15.6</v>
      </c>
      <c r="D59" s="986">
        <v>22.9</v>
      </c>
      <c r="E59" s="986">
        <v>49.8</v>
      </c>
      <c r="F59" s="457">
        <v>415</v>
      </c>
      <c r="G59" s="457">
        <v>474</v>
      </c>
      <c r="H59" s="457">
        <v>593</v>
      </c>
      <c r="I59" s="457">
        <v>332</v>
      </c>
      <c r="J59" s="987">
        <v>47</v>
      </c>
      <c r="K59" s="986">
        <v>9.5</v>
      </c>
      <c r="L59" s="457">
        <v>18</v>
      </c>
      <c r="M59" s="457">
        <v>504</v>
      </c>
      <c r="N59" s="984"/>
      <c r="O59" s="984" t="str">
        <f t="shared" si="39"/>
        <v>Nutrilon Nenatal Start pdr</v>
      </c>
      <c r="P59" s="983">
        <f t="shared" si="27"/>
        <v>4.74</v>
      </c>
      <c r="Q59" s="983">
        <f t="shared" si="28"/>
        <v>0.156</v>
      </c>
      <c r="R59" s="983">
        <f t="shared" si="29"/>
        <v>0.22899999999999998</v>
      </c>
      <c r="S59" s="983">
        <f t="shared" si="30"/>
        <v>0.498</v>
      </c>
      <c r="T59" s="983">
        <f t="shared" si="31"/>
        <v>0.1804337</v>
      </c>
      <c r="U59" s="983">
        <f t="shared" si="32"/>
        <v>0.12153833999999999</v>
      </c>
      <c r="V59" s="983">
        <f t="shared" si="33"/>
        <v>0.14765699999999998</v>
      </c>
      <c r="W59" s="983">
        <f t="shared" si="34"/>
        <v>0.10719947999999999</v>
      </c>
      <c r="X59" s="983">
        <f t="shared" si="35"/>
        <v>1.9336269999999999E-2</v>
      </c>
      <c r="Y59" s="983">
        <f t="shared" si="36"/>
        <v>1.7004999999999998E-3</v>
      </c>
      <c r="Z59" s="983">
        <f t="shared" si="37"/>
        <v>7.2</v>
      </c>
      <c r="AA59" s="983">
        <f t="shared" si="38"/>
        <v>0.14215823999999999</v>
      </c>
    </row>
    <row r="60" spans="1:27" x14ac:dyDescent="0.2">
      <c r="A60" s="457" t="s">
        <v>865</v>
      </c>
      <c r="B60" s="457">
        <v>491</v>
      </c>
      <c r="C60" s="457">
        <v>13.4</v>
      </c>
      <c r="D60" s="986">
        <v>49.1</v>
      </c>
      <c r="E60" s="986">
        <v>26</v>
      </c>
      <c r="F60" s="457">
        <v>183</v>
      </c>
      <c r="G60" s="457">
        <v>504</v>
      </c>
      <c r="H60" s="457">
        <v>569</v>
      </c>
      <c r="I60" s="457">
        <v>308</v>
      </c>
      <c r="J60" s="987">
        <v>46</v>
      </c>
      <c r="K60" s="986">
        <v>7.9</v>
      </c>
      <c r="L60" s="457">
        <v>11</v>
      </c>
      <c r="M60" s="457">
        <v>360</v>
      </c>
      <c r="N60" s="984"/>
      <c r="O60" s="984" t="str">
        <f t="shared" si="39"/>
        <v>Nutrilon Nenatal 1</v>
      </c>
      <c r="P60" s="983">
        <f t="shared" si="27"/>
        <v>4.91</v>
      </c>
      <c r="Q60" s="983">
        <f t="shared" si="28"/>
        <v>0.13400000000000001</v>
      </c>
      <c r="R60" s="983">
        <f t="shared" si="29"/>
        <v>0.49099999999999999</v>
      </c>
      <c r="S60" s="983">
        <f t="shared" si="30"/>
        <v>0.26</v>
      </c>
      <c r="T60" s="983">
        <f t="shared" si="31"/>
        <v>7.9564740000000009E-2</v>
      </c>
      <c r="U60" s="983">
        <f t="shared" si="32"/>
        <v>0.12923064000000001</v>
      </c>
      <c r="V60" s="983">
        <f t="shared" si="33"/>
        <v>0.141681</v>
      </c>
      <c r="W60" s="983">
        <f t="shared" si="34"/>
        <v>9.9450120000000003E-2</v>
      </c>
      <c r="X60" s="983">
        <f t="shared" si="35"/>
        <v>1.8924859999999998E-2</v>
      </c>
      <c r="Y60" s="983">
        <f t="shared" si="36"/>
        <v>1.4141000000000002E-3</v>
      </c>
      <c r="Z60" s="983">
        <f t="shared" si="37"/>
        <v>4.4000000000000004</v>
      </c>
      <c r="AA60" s="983">
        <f t="shared" si="38"/>
        <v>0.1015416</v>
      </c>
    </row>
    <row r="61" spans="1:27" x14ac:dyDescent="0.2">
      <c r="A61" s="987" t="s">
        <v>879</v>
      </c>
      <c r="B61" s="457">
        <v>338</v>
      </c>
      <c r="C61" s="457">
        <v>82.1</v>
      </c>
      <c r="D61" s="986">
        <v>2.2000000000000002</v>
      </c>
      <c r="E61" s="986">
        <v>0.1</v>
      </c>
      <c r="F61" s="457">
        <v>776</v>
      </c>
      <c r="G61" s="457">
        <v>1226</v>
      </c>
      <c r="H61" s="457">
        <v>524</v>
      </c>
      <c r="I61" s="457">
        <v>516</v>
      </c>
      <c r="J61" s="457">
        <v>46</v>
      </c>
      <c r="K61" s="986">
        <v>0</v>
      </c>
      <c r="L61" s="457">
        <v>0</v>
      </c>
      <c r="M61" s="457">
        <v>66</v>
      </c>
      <c r="N61" s="984"/>
      <c r="O61" s="984" t="str">
        <f t="shared" si="39"/>
        <v>Nutrilon Nenatal Protein Fortifier</v>
      </c>
      <c r="P61" s="983">
        <f t="shared" si="27"/>
        <v>3.38</v>
      </c>
      <c r="Q61" s="983">
        <f t="shared" si="28"/>
        <v>0.82099999999999995</v>
      </c>
      <c r="R61" s="983">
        <f t="shared" si="29"/>
        <v>2.2000000000000002E-2</v>
      </c>
      <c r="S61" s="983">
        <f t="shared" si="30"/>
        <v>1E-3</v>
      </c>
      <c r="T61" s="983">
        <f t="shared" si="31"/>
        <v>0.33738928000000001</v>
      </c>
      <c r="U61" s="983">
        <f t="shared" si="32"/>
        <v>0.31435866000000001</v>
      </c>
      <c r="V61" s="983">
        <f t="shared" si="33"/>
        <v>0.13047599999999998</v>
      </c>
      <c r="W61" s="983">
        <f t="shared" si="34"/>
        <v>0.16661123999999997</v>
      </c>
      <c r="X61" s="983">
        <f t="shared" si="35"/>
        <v>1.8924859999999998E-2</v>
      </c>
      <c r="Y61" s="983">
        <f t="shared" si="36"/>
        <v>0</v>
      </c>
      <c r="Z61" s="983">
        <f t="shared" si="37"/>
        <v>0</v>
      </c>
      <c r="AA61" s="983">
        <f t="shared" si="38"/>
        <v>1.8615959999999997E-2</v>
      </c>
    </row>
    <row r="62" spans="1:27" x14ac:dyDescent="0.2">
      <c r="A62" s="987" t="s">
        <v>880</v>
      </c>
      <c r="B62" s="987">
        <v>450</v>
      </c>
      <c r="C62" s="987">
        <v>0</v>
      </c>
      <c r="D62" s="988">
        <v>0</v>
      </c>
      <c r="E62" s="988">
        <v>50</v>
      </c>
      <c r="F62" s="987">
        <v>7</v>
      </c>
      <c r="G62" s="987">
        <v>0</v>
      </c>
      <c r="H62" s="987">
        <v>0</v>
      </c>
      <c r="I62" s="987">
        <v>0</v>
      </c>
      <c r="J62" s="987">
        <v>0</v>
      </c>
      <c r="K62" s="988">
        <v>0</v>
      </c>
      <c r="L62" s="987">
        <v>0</v>
      </c>
      <c r="M62" s="987">
        <v>0.1</v>
      </c>
      <c r="N62" s="992"/>
      <c r="O62" s="984" t="str">
        <f t="shared" si="39"/>
        <v>Calogen neutraal</v>
      </c>
      <c r="P62" s="983">
        <f t="shared" si="27"/>
        <v>4.5</v>
      </c>
      <c r="Q62" s="983">
        <f t="shared" si="28"/>
        <v>0</v>
      </c>
      <c r="R62" s="983">
        <f t="shared" si="29"/>
        <v>0</v>
      </c>
      <c r="S62" s="983">
        <f t="shared" si="30"/>
        <v>0.5</v>
      </c>
      <c r="T62" s="983">
        <f t="shared" si="31"/>
        <v>3.04346E-3</v>
      </c>
      <c r="U62" s="983">
        <f t="shared" si="32"/>
        <v>0</v>
      </c>
      <c r="V62" s="983">
        <f t="shared" si="33"/>
        <v>0</v>
      </c>
      <c r="W62" s="983">
        <f t="shared" si="34"/>
        <v>0</v>
      </c>
      <c r="X62" s="983">
        <f t="shared" si="35"/>
        <v>0</v>
      </c>
      <c r="Y62" s="983">
        <f t="shared" si="36"/>
        <v>0</v>
      </c>
      <c r="Z62" s="983">
        <f t="shared" si="37"/>
        <v>0</v>
      </c>
      <c r="AA62" s="983">
        <f t="shared" si="38"/>
        <v>2.8206000000000001E-5</v>
      </c>
    </row>
    <row r="63" spans="1:27" x14ac:dyDescent="0.2">
      <c r="A63" s="987" t="s">
        <v>881</v>
      </c>
      <c r="B63" s="987">
        <v>450</v>
      </c>
      <c r="C63" s="987">
        <v>0</v>
      </c>
      <c r="D63" s="988">
        <v>0</v>
      </c>
      <c r="E63" s="988">
        <v>50</v>
      </c>
      <c r="F63" s="987">
        <v>5</v>
      </c>
      <c r="G63" s="987">
        <v>0.1</v>
      </c>
      <c r="H63" s="987">
        <v>0.3</v>
      </c>
      <c r="I63" s="987">
        <v>0</v>
      </c>
      <c r="J63" s="987">
        <v>0</v>
      </c>
      <c r="K63" s="988">
        <v>0</v>
      </c>
      <c r="L63" s="987">
        <v>0</v>
      </c>
      <c r="M63" s="987">
        <v>0.01</v>
      </c>
      <c r="N63" s="992"/>
      <c r="O63" s="984" t="str">
        <f t="shared" si="39"/>
        <v>Liquigen</v>
      </c>
      <c r="P63" s="983">
        <f t="shared" si="27"/>
        <v>4.5</v>
      </c>
      <c r="Q63" s="983">
        <f t="shared" si="28"/>
        <v>0</v>
      </c>
      <c r="R63" s="983">
        <f t="shared" si="29"/>
        <v>0</v>
      </c>
      <c r="S63" s="983">
        <f t="shared" si="30"/>
        <v>0.5</v>
      </c>
      <c r="T63" s="983">
        <f t="shared" si="31"/>
        <v>2.1739000000000003E-3</v>
      </c>
      <c r="U63" s="983">
        <f t="shared" si="32"/>
        <v>2.5641000000000001E-5</v>
      </c>
      <c r="V63" s="983">
        <f t="shared" si="33"/>
        <v>7.4699999999999986E-5</v>
      </c>
      <c r="W63" s="983">
        <f t="shared" si="34"/>
        <v>0</v>
      </c>
      <c r="X63" s="983">
        <f t="shared" si="35"/>
        <v>0</v>
      </c>
      <c r="Y63" s="983">
        <f t="shared" si="36"/>
        <v>0</v>
      </c>
      <c r="Z63" s="983">
        <f t="shared" si="37"/>
        <v>0</v>
      </c>
      <c r="AA63" s="983">
        <f t="shared" si="38"/>
        <v>2.8205999999999997E-6</v>
      </c>
    </row>
    <row r="64" spans="1:27" x14ac:dyDescent="0.2">
      <c r="A64" s="987" t="s">
        <v>524</v>
      </c>
      <c r="B64" s="987">
        <v>384</v>
      </c>
      <c r="C64" s="987">
        <v>0</v>
      </c>
      <c r="D64" s="988">
        <v>96</v>
      </c>
      <c r="E64" s="988">
        <v>0</v>
      </c>
      <c r="F64" s="987">
        <v>2</v>
      </c>
      <c r="G64" s="987">
        <v>0</v>
      </c>
      <c r="H64" s="987">
        <v>0</v>
      </c>
      <c r="I64" s="987">
        <v>0</v>
      </c>
      <c r="J64" s="987">
        <v>0</v>
      </c>
      <c r="K64" s="988">
        <v>0</v>
      </c>
      <c r="L64" s="987">
        <v>0</v>
      </c>
      <c r="M64" s="987">
        <v>0</v>
      </c>
      <c r="N64" s="992"/>
      <c r="O64" s="984" t="str">
        <f t="shared" si="39"/>
        <v>Fantomalt</v>
      </c>
      <c r="P64" s="983">
        <f t="shared" si="27"/>
        <v>3.84</v>
      </c>
      <c r="Q64" s="983">
        <f t="shared" si="28"/>
        <v>0</v>
      </c>
      <c r="R64" s="983">
        <f t="shared" si="29"/>
        <v>0.96</v>
      </c>
      <c r="S64" s="983">
        <f t="shared" si="30"/>
        <v>0</v>
      </c>
      <c r="T64" s="983">
        <f t="shared" si="31"/>
        <v>8.6956000000000002E-4</v>
      </c>
      <c r="U64" s="983">
        <f t="shared" si="32"/>
        <v>0</v>
      </c>
      <c r="V64" s="983">
        <f t="shared" si="33"/>
        <v>0</v>
      </c>
      <c r="W64" s="983">
        <f t="shared" si="34"/>
        <v>0</v>
      </c>
      <c r="X64" s="983">
        <f t="shared" si="35"/>
        <v>0</v>
      </c>
      <c r="Y64" s="983">
        <f t="shared" si="36"/>
        <v>0</v>
      </c>
      <c r="Z64" s="983">
        <f t="shared" si="37"/>
        <v>0</v>
      </c>
      <c r="AA64" s="983">
        <f t="shared" si="38"/>
        <v>0</v>
      </c>
    </row>
    <row r="65" spans="1:27" x14ac:dyDescent="0.2">
      <c r="A65" s="987" t="s">
        <v>882</v>
      </c>
      <c r="B65" s="987">
        <v>493</v>
      </c>
      <c r="C65" s="987">
        <v>11.6</v>
      </c>
      <c r="D65" s="988">
        <v>51.8</v>
      </c>
      <c r="E65" s="994">
        <v>25.7</v>
      </c>
      <c r="F65" s="987">
        <v>150</v>
      </c>
      <c r="G65" s="987">
        <v>598</v>
      </c>
      <c r="H65" s="987">
        <v>346</v>
      </c>
      <c r="I65" s="987">
        <v>191</v>
      </c>
      <c r="J65" s="987">
        <v>39</v>
      </c>
      <c r="K65" s="988">
        <v>3.9</v>
      </c>
      <c r="L65" s="995">
        <v>9.4</v>
      </c>
      <c r="M65" s="995">
        <v>290</v>
      </c>
      <c r="N65" s="996"/>
      <c r="O65" s="984" t="str">
        <f t="shared" si="39"/>
        <v>Nutrilon Pepti 1 pdr</v>
      </c>
      <c r="P65" s="983">
        <f t="shared" si="27"/>
        <v>4.93</v>
      </c>
      <c r="Q65" s="983">
        <f t="shared" si="28"/>
        <v>0.11599999999999999</v>
      </c>
      <c r="R65" s="983">
        <f t="shared" si="29"/>
        <v>0.51800000000000002</v>
      </c>
      <c r="S65" s="983">
        <f t="shared" si="30"/>
        <v>0.25700000000000001</v>
      </c>
      <c r="T65" s="983">
        <f t="shared" si="31"/>
        <v>6.5216999999999997E-2</v>
      </c>
      <c r="U65" s="983">
        <f t="shared" si="32"/>
        <v>0.15333318000000001</v>
      </c>
      <c r="V65" s="983">
        <f t="shared" si="33"/>
        <v>8.6153999999999994E-2</v>
      </c>
      <c r="W65" s="983">
        <f t="shared" si="34"/>
        <v>6.1671990000000003E-2</v>
      </c>
      <c r="X65" s="983">
        <f t="shared" si="35"/>
        <v>1.6044989999999999E-2</v>
      </c>
      <c r="Y65" s="983">
        <f t="shared" si="36"/>
        <v>6.981E-4</v>
      </c>
      <c r="Z65" s="983">
        <f t="shared" si="37"/>
        <v>3.76</v>
      </c>
      <c r="AA65" s="983">
        <f t="shared" si="38"/>
        <v>8.1797399999999992E-2</v>
      </c>
    </row>
    <row r="66" spans="1:27" x14ac:dyDescent="0.2">
      <c r="A66" s="987" t="s">
        <v>883</v>
      </c>
      <c r="B66" s="987">
        <v>483</v>
      </c>
      <c r="C66" s="987">
        <v>11</v>
      </c>
      <c r="D66" s="988">
        <v>52.5</v>
      </c>
      <c r="E66" s="988">
        <v>24.6</v>
      </c>
      <c r="F66" s="987">
        <v>181</v>
      </c>
      <c r="G66" s="987">
        <v>530</v>
      </c>
      <c r="H66" s="987">
        <v>339</v>
      </c>
      <c r="I66" s="987">
        <v>190</v>
      </c>
      <c r="J66" s="987">
        <v>37</v>
      </c>
      <c r="K66" s="988">
        <v>3.9</v>
      </c>
      <c r="L66" s="995">
        <v>8.8000000000000007</v>
      </c>
      <c r="M66" s="995">
        <v>302</v>
      </c>
      <c r="N66" s="996"/>
      <c r="O66" s="984" t="str">
        <f t="shared" si="39"/>
        <v>Nutrilon Hypoallergeen 1 pdr</v>
      </c>
      <c r="P66" s="983">
        <f t="shared" si="27"/>
        <v>4.83</v>
      </c>
      <c r="Q66" s="983">
        <f t="shared" si="28"/>
        <v>0.11</v>
      </c>
      <c r="R66" s="983">
        <f t="shared" si="29"/>
        <v>0.52500000000000002</v>
      </c>
      <c r="S66" s="983">
        <f t="shared" si="30"/>
        <v>0.24600000000000002</v>
      </c>
      <c r="T66" s="983">
        <f t="shared" si="31"/>
        <v>7.8695180000000003E-2</v>
      </c>
      <c r="U66" s="983">
        <f t="shared" si="32"/>
        <v>0.1358973</v>
      </c>
      <c r="V66" s="983">
        <f t="shared" si="33"/>
        <v>8.4410999999999986E-2</v>
      </c>
      <c r="W66" s="983">
        <f t="shared" si="34"/>
        <v>6.1349099999999997E-2</v>
      </c>
      <c r="X66" s="983">
        <f t="shared" si="35"/>
        <v>1.522217E-2</v>
      </c>
      <c r="Y66" s="983">
        <f t="shared" si="36"/>
        <v>6.981E-4</v>
      </c>
      <c r="Z66" s="983">
        <f t="shared" si="37"/>
        <v>3.52</v>
      </c>
      <c r="AA66" s="983">
        <f t="shared" si="38"/>
        <v>8.518212E-2</v>
      </c>
    </row>
    <row r="67" spans="1:27" x14ac:dyDescent="0.2">
      <c r="A67" s="987" t="s">
        <v>884</v>
      </c>
      <c r="B67" s="987">
        <v>483</v>
      </c>
      <c r="C67" s="987">
        <v>13</v>
      </c>
      <c r="D67" s="988">
        <v>52.5</v>
      </c>
      <c r="E67" s="988">
        <v>24.5</v>
      </c>
      <c r="F67" s="987">
        <v>189</v>
      </c>
      <c r="G67" s="987">
        <v>525</v>
      </c>
      <c r="H67" s="987">
        <v>475</v>
      </c>
      <c r="I67" s="987">
        <v>341</v>
      </c>
      <c r="J67" s="987">
        <v>51</v>
      </c>
      <c r="K67" s="988">
        <v>7.25</v>
      </c>
      <c r="L67" s="995">
        <v>8.8000000000000007</v>
      </c>
      <c r="M67" s="995">
        <v>386</v>
      </c>
      <c r="N67" s="996"/>
      <c r="O67" s="984" t="str">
        <f t="shared" si="39"/>
        <v>Neocate LCP</v>
      </c>
      <c r="P67" s="983">
        <f t="shared" si="27"/>
        <v>4.83</v>
      </c>
      <c r="Q67" s="983">
        <f t="shared" si="28"/>
        <v>0.13</v>
      </c>
      <c r="R67" s="983">
        <f t="shared" si="29"/>
        <v>0.52500000000000002</v>
      </c>
      <c r="S67" s="983">
        <f t="shared" si="30"/>
        <v>0.245</v>
      </c>
      <c r="T67" s="983">
        <f t="shared" si="31"/>
        <v>8.2173419999999997E-2</v>
      </c>
      <c r="U67" s="983">
        <f t="shared" si="32"/>
        <v>0.13461524999999999</v>
      </c>
      <c r="V67" s="983">
        <f t="shared" si="33"/>
        <v>0.11827499999999999</v>
      </c>
      <c r="W67" s="983">
        <f t="shared" si="34"/>
        <v>0.11010548999999999</v>
      </c>
      <c r="X67" s="983">
        <f t="shared" si="35"/>
        <v>2.0981909999999999E-2</v>
      </c>
      <c r="Y67" s="983">
        <f t="shared" si="36"/>
        <v>1.2977500000000001E-3</v>
      </c>
      <c r="Z67" s="983">
        <f t="shared" si="37"/>
        <v>3.52</v>
      </c>
      <c r="AA67" s="983">
        <f t="shared" si="38"/>
        <v>0.10887516</v>
      </c>
    </row>
    <row r="68" spans="1:27" x14ac:dyDescent="0.2">
      <c r="A68" s="987" t="s">
        <v>885</v>
      </c>
      <c r="B68" s="987">
        <v>475</v>
      </c>
      <c r="C68" s="987">
        <v>13.3</v>
      </c>
      <c r="D68" s="988">
        <v>56</v>
      </c>
      <c r="E68" s="988">
        <v>22</v>
      </c>
      <c r="F68" s="987">
        <v>285</v>
      </c>
      <c r="G68" s="987">
        <v>546</v>
      </c>
      <c r="H68" s="987">
        <v>428</v>
      </c>
      <c r="I68" s="987">
        <v>309</v>
      </c>
      <c r="J68" s="987">
        <v>66.5</v>
      </c>
      <c r="K68" s="988">
        <v>5.7</v>
      </c>
      <c r="L68" s="987">
        <v>6.2</v>
      </c>
      <c r="M68" s="987">
        <v>437</v>
      </c>
      <c r="N68" s="992"/>
      <c r="O68" s="984" t="str">
        <f t="shared" si="39"/>
        <v>Neocate Junior</v>
      </c>
      <c r="P68" s="983">
        <f t="shared" si="27"/>
        <v>4.75</v>
      </c>
      <c r="Q68" s="983">
        <f t="shared" si="28"/>
        <v>0.13300000000000001</v>
      </c>
      <c r="R68" s="983">
        <f t="shared" si="29"/>
        <v>0.56000000000000005</v>
      </c>
      <c r="S68" s="983">
        <f t="shared" si="30"/>
        <v>0.22</v>
      </c>
      <c r="T68" s="983">
        <f t="shared" si="31"/>
        <v>0.1239123</v>
      </c>
      <c r="U68" s="983">
        <f t="shared" si="32"/>
        <v>0.13999986</v>
      </c>
      <c r="V68" s="983">
        <f t="shared" si="33"/>
        <v>0.106572</v>
      </c>
      <c r="W68" s="983">
        <f t="shared" si="34"/>
        <v>9.9773009999999995E-2</v>
      </c>
      <c r="X68" s="983">
        <f t="shared" si="35"/>
        <v>2.7358764999999997E-2</v>
      </c>
      <c r="Y68" s="983">
        <f t="shared" si="36"/>
        <v>1.0203E-3</v>
      </c>
      <c r="Z68" s="983">
        <f t="shared" si="37"/>
        <v>2.48</v>
      </c>
      <c r="AA68" s="983">
        <f t="shared" si="38"/>
        <v>0.12326022</v>
      </c>
    </row>
    <row r="69" spans="1:27" x14ac:dyDescent="0.2">
      <c r="A69" s="987" t="s">
        <v>960</v>
      </c>
      <c r="B69" s="991">
        <v>484</v>
      </c>
      <c r="C69" s="991">
        <v>9.6999999999999993</v>
      </c>
      <c r="D69" s="991">
        <v>53.8</v>
      </c>
      <c r="E69" s="991">
        <v>24.7</v>
      </c>
      <c r="F69" s="991">
        <v>125</v>
      </c>
      <c r="G69" s="991">
        <v>501</v>
      </c>
      <c r="H69" s="991">
        <v>418</v>
      </c>
      <c r="I69" s="991">
        <v>237</v>
      </c>
      <c r="J69" s="991">
        <v>37</v>
      </c>
      <c r="K69" s="991">
        <v>3.9</v>
      </c>
      <c r="L69" s="991">
        <v>8.6999999999999993</v>
      </c>
      <c r="M69" s="991">
        <v>304</v>
      </c>
      <c r="O69" s="984" t="str">
        <f t="shared" si="39"/>
        <v>Nutrilon 1</v>
      </c>
      <c r="P69" s="983">
        <f t="shared" si="27"/>
        <v>4.84</v>
      </c>
      <c r="Q69" s="983">
        <f t="shared" si="28"/>
        <v>9.6999999999999989E-2</v>
      </c>
      <c r="R69" s="983">
        <f t="shared" si="29"/>
        <v>0.53799999999999992</v>
      </c>
      <c r="S69" s="983">
        <f t="shared" si="30"/>
        <v>0.247</v>
      </c>
      <c r="T69" s="983">
        <f t="shared" si="31"/>
        <v>5.43475E-2</v>
      </c>
      <c r="U69" s="983">
        <f t="shared" si="32"/>
        <v>0.12846141</v>
      </c>
      <c r="V69" s="983">
        <f t="shared" si="33"/>
        <v>0.10408199999999999</v>
      </c>
      <c r="W69" s="983">
        <f t="shared" si="34"/>
        <v>7.6524929999999991E-2</v>
      </c>
      <c r="X69" s="983">
        <f t="shared" si="35"/>
        <v>1.522217E-2</v>
      </c>
      <c r="Y69" s="983">
        <f t="shared" si="36"/>
        <v>6.981E-4</v>
      </c>
      <c r="Z69" s="983">
        <f t="shared" si="37"/>
        <v>3.48</v>
      </c>
      <c r="AA69" s="983">
        <f t="shared" si="38"/>
        <v>8.5746240000000001E-2</v>
      </c>
    </row>
    <row r="70" spans="1:27" x14ac:dyDescent="0.2">
      <c r="A70" s="987" t="s">
        <v>937</v>
      </c>
      <c r="B70" s="991">
        <v>318</v>
      </c>
      <c r="C70" s="991">
        <v>0</v>
      </c>
      <c r="D70" s="991">
        <v>66.2</v>
      </c>
      <c r="E70" s="991">
        <v>0.3</v>
      </c>
      <c r="F70" s="991">
        <v>6</v>
      </c>
      <c r="G70" s="991">
        <v>91</v>
      </c>
      <c r="H70" s="991">
        <v>335</v>
      </c>
      <c r="I70" s="991">
        <v>12</v>
      </c>
      <c r="J70" s="991">
        <v>9.1</v>
      </c>
      <c r="K70" s="991">
        <v>8.8000000000000007</v>
      </c>
      <c r="L70" s="991">
        <v>0</v>
      </c>
      <c r="M70" s="991">
        <v>109</v>
      </c>
      <c r="O70" s="984" t="str">
        <f t="shared" si="39"/>
        <v>Nutriton</v>
      </c>
      <c r="P70" s="983">
        <f t="shared" si="27"/>
        <v>3.18</v>
      </c>
      <c r="Q70" s="983">
        <f t="shared" si="28"/>
        <v>0</v>
      </c>
      <c r="R70" s="983">
        <f t="shared" si="29"/>
        <v>0.66200000000000003</v>
      </c>
      <c r="S70" s="983">
        <f t="shared" si="30"/>
        <v>3.0000000000000001E-3</v>
      </c>
      <c r="T70" s="983">
        <f t="shared" si="31"/>
        <v>2.6086799999999999E-3</v>
      </c>
      <c r="U70" s="983">
        <f t="shared" si="32"/>
        <v>2.3333310000000003E-2</v>
      </c>
      <c r="V70" s="983">
        <f t="shared" si="33"/>
        <v>8.3415000000000003E-2</v>
      </c>
      <c r="W70" s="983">
        <f t="shared" si="34"/>
        <v>3.8746799999999997E-3</v>
      </c>
      <c r="X70" s="983">
        <f t="shared" si="35"/>
        <v>3.7438309999999995E-3</v>
      </c>
      <c r="Y70" s="983">
        <f t="shared" si="36"/>
        <v>1.5751999999999999E-3</v>
      </c>
      <c r="Z70" s="983">
        <f t="shared" si="37"/>
        <v>0</v>
      </c>
      <c r="AA70" s="983">
        <f t="shared" si="38"/>
        <v>3.0744539999999997E-2</v>
      </c>
    </row>
    <row r="71" spans="1:27" x14ac:dyDescent="0.2">
      <c r="A71" s="992"/>
    </row>
  </sheetData>
  <sortState ref="B14:B46">
    <sortCondition ref="B1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352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52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341</v>
      </c>
      <c r="E17" t="s">
        <v>342</v>
      </c>
      <c r="F17" s="15">
        <f ca="1">TODAY()-__4_GebDatum+1</f>
        <v>41290</v>
      </c>
    </row>
    <row r="18" spans="1:6" x14ac:dyDescent="0.2">
      <c r="A18" s="16">
        <f ca="1">IF(F17&lt;6,VLOOKUP(F17,A1:B5,2),IF(F18&lt;6,150,IF(F18&lt;8,125,IF(F18&lt;10,100,IF(F18&lt;20,(1000+(F18-10)*50)/F18,IF(F18&lt;30,(1500+(F18-20)*20)/F18,(1700+(F18-30)*10)/F18))))))</f>
        <v>150</v>
      </c>
      <c r="E18" t="s">
        <v>343</v>
      </c>
      <c r="F18">
        <f>_Pat_Gewicht/10</f>
        <v>0</v>
      </c>
    </row>
    <row r="20" spans="1:6" x14ac:dyDescent="0.2">
      <c r="A20" t="s">
        <v>110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67"/>
  <sheetViews>
    <sheetView workbookViewId="0">
      <selection sqref="A1:B1567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155</v>
      </c>
      <c r="B1" t="s">
        <v>156</v>
      </c>
    </row>
    <row r="2" spans="1:2" x14ac:dyDescent="0.2">
      <c r="A2" t="s">
        <v>1039</v>
      </c>
      <c r="B2" t="s">
        <v>4336</v>
      </c>
    </row>
    <row r="3" spans="1:2" x14ac:dyDescent="0.2">
      <c r="A3" t="s">
        <v>1040</v>
      </c>
      <c r="B3" t="s">
        <v>3326</v>
      </c>
    </row>
    <row r="4" spans="1:2" x14ac:dyDescent="0.2">
      <c r="A4" t="s">
        <v>1041</v>
      </c>
      <c r="B4" t="s">
        <v>4336</v>
      </c>
    </row>
    <row r="5" spans="1:2" x14ac:dyDescent="0.2">
      <c r="A5" t="s">
        <v>1042</v>
      </c>
      <c r="B5" t="s">
        <v>4336</v>
      </c>
    </row>
    <row r="6" spans="1:2" x14ac:dyDescent="0.2">
      <c r="A6" t="s">
        <v>1043</v>
      </c>
      <c r="B6">
        <v>2</v>
      </c>
    </row>
    <row r="7" spans="1:2" x14ac:dyDescent="0.2">
      <c r="A7" t="s">
        <v>2036</v>
      </c>
      <c r="B7" t="s">
        <v>4336</v>
      </c>
    </row>
    <row r="8" spans="1:2" x14ac:dyDescent="0.2">
      <c r="A8" t="s">
        <v>2037</v>
      </c>
      <c r="B8" t="s">
        <v>4336</v>
      </c>
    </row>
    <row r="9" spans="1:2" x14ac:dyDescent="0.2">
      <c r="A9" t="s">
        <v>2038</v>
      </c>
      <c r="B9" t="s">
        <v>4336</v>
      </c>
    </row>
    <row r="10" spans="1:2" x14ac:dyDescent="0.2">
      <c r="A10" t="s">
        <v>2039</v>
      </c>
      <c r="B10" t="s">
        <v>4336</v>
      </c>
    </row>
    <row r="11" spans="1:2" x14ac:dyDescent="0.2">
      <c r="A11" t="s">
        <v>2040</v>
      </c>
      <c r="B11" t="s">
        <v>4336</v>
      </c>
    </row>
    <row r="12" spans="1:2" x14ac:dyDescent="0.2">
      <c r="A12" t="s">
        <v>2041</v>
      </c>
      <c r="B12" t="s">
        <v>4336</v>
      </c>
    </row>
    <row r="13" spans="1:2" x14ac:dyDescent="0.2">
      <c r="A13" t="s">
        <v>2042</v>
      </c>
      <c r="B13" t="s">
        <v>4336</v>
      </c>
    </row>
    <row r="14" spans="1:2" x14ac:dyDescent="0.2">
      <c r="A14" t="s">
        <v>2043</v>
      </c>
      <c r="B14" t="s">
        <v>4336</v>
      </c>
    </row>
    <row r="15" spans="1:2" x14ac:dyDescent="0.2">
      <c r="A15" t="s">
        <v>2044</v>
      </c>
      <c r="B15" t="s">
        <v>4336</v>
      </c>
    </row>
    <row r="16" spans="1:2" x14ac:dyDescent="0.2">
      <c r="A16" t="s">
        <v>2045</v>
      </c>
      <c r="B16" t="s">
        <v>4336</v>
      </c>
    </row>
    <row r="17" spans="1:2" x14ac:dyDescent="0.2">
      <c r="A17" t="s">
        <v>2046</v>
      </c>
      <c r="B17" t="s">
        <v>4336</v>
      </c>
    </row>
    <row r="18" spans="1:2" x14ac:dyDescent="0.2">
      <c r="A18" t="s">
        <v>2047</v>
      </c>
      <c r="B18" t="s">
        <v>4336</v>
      </c>
    </row>
    <row r="19" spans="1:2" x14ac:dyDescent="0.2">
      <c r="A19" t="s">
        <v>2048</v>
      </c>
      <c r="B19" t="s">
        <v>4336</v>
      </c>
    </row>
    <row r="20" spans="1:2" x14ac:dyDescent="0.2">
      <c r="A20" t="s">
        <v>2049</v>
      </c>
      <c r="B20" t="s">
        <v>4336</v>
      </c>
    </row>
    <row r="21" spans="1:2" x14ac:dyDescent="0.2">
      <c r="A21" t="s">
        <v>2050</v>
      </c>
      <c r="B21" t="s">
        <v>4336</v>
      </c>
    </row>
    <row r="22" spans="1:2" x14ac:dyDescent="0.2">
      <c r="A22" t="s">
        <v>2051</v>
      </c>
      <c r="B22" t="s">
        <v>4336</v>
      </c>
    </row>
    <row r="23" spans="1:2" x14ac:dyDescent="0.2">
      <c r="A23" t="s">
        <v>2052</v>
      </c>
      <c r="B23" t="s">
        <v>4336</v>
      </c>
    </row>
    <row r="24" spans="1:2" x14ac:dyDescent="0.2">
      <c r="A24" t="s">
        <v>2053</v>
      </c>
      <c r="B24" t="s">
        <v>4336</v>
      </c>
    </row>
    <row r="25" spans="1:2" x14ac:dyDescent="0.2">
      <c r="A25" t="s">
        <v>2054</v>
      </c>
      <c r="B25" t="s">
        <v>4336</v>
      </c>
    </row>
    <row r="26" spans="1:2" x14ac:dyDescent="0.2">
      <c r="A26" t="s">
        <v>2055</v>
      </c>
      <c r="B26" t="s">
        <v>4336</v>
      </c>
    </row>
    <row r="27" spans="1:2" x14ac:dyDescent="0.2">
      <c r="A27" t="s">
        <v>2056</v>
      </c>
      <c r="B27" t="s">
        <v>4336</v>
      </c>
    </row>
    <row r="28" spans="1:2" x14ac:dyDescent="0.2">
      <c r="A28" t="s">
        <v>2057</v>
      </c>
      <c r="B28" t="s">
        <v>4336</v>
      </c>
    </row>
    <row r="29" spans="1:2" x14ac:dyDescent="0.2">
      <c r="A29" t="s">
        <v>2058</v>
      </c>
      <c r="B29" t="s">
        <v>4336</v>
      </c>
    </row>
    <row r="30" spans="1:2" x14ac:dyDescent="0.2">
      <c r="A30" t="s">
        <v>2059</v>
      </c>
      <c r="B30" t="s">
        <v>4336</v>
      </c>
    </row>
    <row r="31" spans="1:2" x14ac:dyDescent="0.2">
      <c r="A31" t="s">
        <v>2060</v>
      </c>
      <c r="B31" t="s">
        <v>4336</v>
      </c>
    </row>
    <row r="32" spans="1:2" x14ac:dyDescent="0.2">
      <c r="A32" t="s">
        <v>2061</v>
      </c>
      <c r="B32" t="s">
        <v>4336</v>
      </c>
    </row>
    <row r="33" spans="1:2" x14ac:dyDescent="0.2">
      <c r="A33" t="s">
        <v>2062</v>
      </c>
      <c r="B33" t="s">
        <v>4336</v>
      </c>
    </row>
    <row r="34" spans="1:2" x14ac:dyDescent="0.2">
      <c r="A34" t="s">
        <v>2063</v>
      </c>
      <c r="B34" t="s">
        <v>4336</v>
      </c>
    </row>
    <row r="35" spans="1:2" x14ac:dyDescent="0.2">
      <c r="A35" t="s">
        <v>2064</v>
      </c>
      <c r="B35" t="s">
        <v>4336</v>
      </c>
    </row>
    <row r="36" spans="1:2" x14ac:dyDescent="0.2">
      <c r="A36" t="s">
        <v>2065</v>
      </c>
      <c r="B36" t="s">
        <v>4336</v>
      </c>
    </row>
    <row r="37" spans="1:2" x14ac:dyDescent="0.2">
      <c r="A37" t="s">
        <v>2066</v>
      </c>
      <c r="B37" t="s">
        <v>4336</v>
      </c>
    </row>
    <row r="38" spans="1:2" x14ac:dyDescent="0.2">
      <c r="A38" t="s">
        <v>2067</v>
      </c>
      <c r="B38" t="s">
        <v>4336</v>
      </c>
    </row>
    <row r="39" spans="1:2" x14ac:dyDescent="0.2">
      <c r="A39" t="s">
        <v>2068</v>
      </c>
      <c r="B39" t="s">
        <v>4336</v>
      </c>
    </row>
    <row r="40" spans="1:2" x14ac:dyDescent="0.2">
      <c r="A40" t="s">
        <v>2069</v>
      </c>
      <c r="B40" t="s">
        <v>4336</v>
      </c>
    </row>
    <row r="41" spans="1:2" x14ac:dyDescent="0.2">
      <c r="A41" t="s">
        <v>2070</v>
      </c>
      <c r="B41" t="s">
        <v>4336</v>
      </c>
    </row>
    <row r="42" spans="1:2" x14ac:dyDescent="0.2">
      <c r="A42" t="s">
        <v>2071</v>
      </c>
      <c r="B42" t="s">
        <v>4336</v>
      </c>
    </row>
    <row r="43" spans="1:2" x14ac:dyDescent="0.2">
      <c r="A43" t="s">
        <v>2072</v>
      </c>
      <c r="B43" t="s">
        <v>4336</v>
      </c>
    </row>
    <row r="44" spans="1:2" x14ac:dyDescent="0.2">
      <c r="A44" t="s">
        <v>2073</v>
      </c>
      <c r="B44" t="s">
        <v>4336</v>
      </c>
    </row>
    <row r="45" spans="1:2" x14ac:dyDescent="0.2">
      <c r="A45" t="s">
        <v>2074</v>
      </c>
      <c r="B45" t="s">
        <v>4336</v>
      </c>
    </row>
    <row r="46" spans="1:2" x14ac:dyDescent="0.2">
      <c r="A46" t="s">
        <v>2075</v>
      </c>
      <c r="B46" t="s">
        <v>4336</v>
      </c>
    </row>
    <row r="47" spans="1:2" x14ac:dyDescent="0.2">
      <c r="A47" t="s">
        <v>2076</v>
      </c>
      <c r="B47" t="s">
        <v>4336</v>
      </c>
    </row>
    <row r="48" spans="1:2" x14ac:dyDescent="0.2">
      <c r="A48" t="s">
        <v>2077</v>
      </c>
      <c r="B48" t="s">
        <v>4336</v>
      </c>
    </row>
    <row r="49" spans="1:2" x14ac:dyDescent="0.2">
      <c r="A49" t="s">
        <v>2078</v>
      </c>
      <c r="B49" t="s">
        <v>4336</v>
      </c>
    </row>
    <row r="50" spans="1:2" x14ac:dyDescent="0.2">
      <c r="A50" t="s">
        <v>2079</v>
      </c>
      <c r="B50" t="s">
        <v>4336</v>
      </c>
    </row>
    <row r="51" spans="1:2" x14ac:dyDescent="0.2">
      <c r="A51" t="s">
        <v>2080</v>
      </c>
      <c r="B51" t="s">
        <v>4336</v>
      </c>
    </row>
    <row r="52" spans="1:2" x14ac:dyDescent="0.2">
      <c r="A52" t="s">
        <v>2081</v>
      </c>
      <c r="B52" t="s">
        <v>4336</v>
      </c>
    </row>
    <row r="53" spans="1:2" x14ac:dyDescent="0.2">
      <c r="A53" t="s">
        <v>2082</v>
      </c>
      <c r="B53" t="s">
        <v>4336</v>
      </c>
    </row>
    <row r="54" spans="1:2" x14ac:dyDescent="0.2">
      <c r="A54" t="s">
        <v>2083</v>
      </c>
      <c r="B54" t="s">
        <v>4336</v>
      </c>
    </row>
    <row r="55" spans="1:2" x14ac:dyDescent="0.2">
      <c r="A55" t="s">
        <v>2084</v>
      </c>
      <c r="B55" t="s">
        <v>4336</v>
      </c>
    </row>
    <row r="56" spans="1:2" x14ac:dyDescent="0.2">
      <c r="A56" t="s">
        <v>2085</v>
      </c>
      <c r="B56" t="s">
        <v>4336</v>
      </c>
    </row>
    <row r="57" spans="1:2" x14ac:dyDescent="0.2">
      <c r="A57" t="s">
        <v>2086</v>
      </c>
      <c r="B57" t="s">
        <v>4336</v>
      </c>
    </row>
    <row r="58" spans="1:2" x14ac:dyDescent="0.2">
      <c r="A58" t="s">
        <v>2087</v>
      </c>
      <c r="B58" t="s">
        <v>4336</v>
      </c>
    </row>
    <row r="59" spans="1:2" x14ac:dyDescent="0.2">
      <c r="A59" t="s">
        <v>2088</v>
      </c>
      <c r="B59" t="s">
        <v>4336</v>
      </c>
    </row>
    <row r="60" spans="1:2" x14ac:dyDescent="0.2">
      <c r="A60" t="s">
        <v>2089</v>
      </c>
      <c r="B60" t="s">
        <v>4336</v>
      </c>
    </row>
    <row r="61" spans="1:2" x14ac:dyDescent="0.2">
      <c r="A61" t="s">
        <v>2090</v>
      </c>
      <c r="B61" t="s">
        <v>4336</v>
      </c>
    </row>
    <row r="62" spans="1:2" x14ac:dyDescent="0.2">
      <c r="A62" t="s">
        <v>2091</v>
      </c>
      <c r="B62" t="s">
        <v>4336</v>
      </c>
    </row>
    <row r="63" spans="1:2" x14ac:dyDescent="0.2">
      <c r="A63" t="s">
        <v>2092</v>
      </c>
      <c r="B63" t="s">
        <v>4336</v>
      </c>
    </row>
    <row r="64" spans="1:2" x14ac:dyDescent="0.2">
      <c r="A64" t="s">
        <v>2093</v>
      </c>
      <c r="B64" t="s">
        <v>4336</v>
      </c>
    </row>
    <row r="65" spans="1:2" x14ac:dyDescent="0.2">
      <c r="A65" t="s">
        <v>2094</v>
      </c>
      <c r="B65" t="s">
        <v>4336</v>
      </c>
    </row>
    <row r="66" spans="1:2" x14ac:dyDescent="0.2">
      <c r="A66" t="s">
        <v>2095</v>
      </c>
      <c r="B66" t="s">
        <v>4336</v>
      </c>
    </row>
    <row r="67" spans="1:2" x14ac:dyDescent="0.2">
      <c r="A67" t="s">
        <v>2096</v>
      </c>
      <c r="B67">
        <v>0</v>
      </c>
    </row>
    <row r="68" spans="1:2" x14ac:dyDescent="0.2">
      <c r="A68" t="s">
        <v>2097</v>
      </c>
      <c r="B68">
        <v>0</v>
      </c>
    </row>
    <row r="69" spans="1:2" x14ac:dyDescent="0.2">
      <c r="A69" t="s">
        <v>2098</v>
      </c>
      <c r="B69">
        <v>0</v>
      </c>
    </row>
    <row r="70" spans="1:2" x14ac:dyDescent="0.2">
      <c r="A70" t="s">
        <v>2099</v>
      </c>
      <c r="B70">
        <v>0</v>
      </c>
    </row>
    <row r="71" spans="1:2" x14ac:dyDescent="0.2">
      <c r="A71" t="s">
        <v>2100</v>
      </c>
      <c r="B71">
        <v>0</v>
      </c>
    </row>
    <row r="72" spans="1:2" x14ac:dyDescent="0.2">
      <c r="A72" t="s">
        <v>2101</v>
      </c>
      <c r="B72">
        <v>0</v>
      </c>
    </row>
    <row r="73" spans="1:2" x14ac:dyDescent="0.2">
      <c r="A73" t="s">
        <v>2102</v>
      </c>
      <c r="B73">
        <v>0</v>
      </c>
    </row>
    <row r="74" spans="1:2" x14ac:dyDescent="0.2">
      <c r="A74" t="s">
        <v>2103</v>
      </c>
      <c r="B74">
        <v>0</v>
      </c>
    </row>
    <row r="75" spans="1:2" x14ac:dyDescent="0.2">
      <c r="A75" t="s">
        <v>2104</v>
      </c>
      <c r="B75">
        <v>0</v>
      </c>
    </row>
    <row r="76" spans="1:2" x14ac:dyDescent="0.2">
      <c r="A76" t="s">
        <v>2105</v>
      </c>
      <c r="B76">
        <v>0</v>
      </c>
    </row>
    <row r="77" spans="1:2" x14ac:dyDescent="0.2">
      <c r="A77" t="s">
        <v>2106</v>
      </c>
      <c r="B77">
        <v>0</v>
      </c>
    </row>
    <row r="78" spans="1:2" x14ac:dyDescent="0.2">
      <c r="A78" t="s">
        <v>2107</v>
      </c>
      <c r="B78">
        <v>0</v>
      </c>
    </row>
    <row r="79" spans="1:2" x14ac:dyDescent="0.2">
      <c r="A79" t="s">
        <v>2108</v>
      </c>
      <c r="B79">
        <v>0</v>
      </c>
    </row>
    <row r="80" spans="1:2" x14ac:dyDescent="0.2">
      <c r="A80" t="s">
        <v>2109</v>
      </c>
      <c r="B80">
        <v>0</v>
      </c>
    </row>
    <row r="81" spans="1:2" x14ac:dyDescent="0.2">
      <c r="A81" t="s">
        <v>2110</v>
      </c>
      <c r="B81">
        <v>0</v>
      </c>
    </row>
    <row r="82" spans="1:2" x14ac:dyDescent="0.2">
      <c r="A82" t="s">
        <v>2111</v>
      </c>
      <c r="B82">
        <v>0</v>
      </c>
    </row>
    <row r="83" spans="1:2" x14ac:dyDescent="0.2">
      <c r="A83" t="s">
        <v>2112</v>
      </c>
      <c r="B83">
        <v>0</v>
      </c>
    </row>
    <row r="84" spans="1:2" x14ac:dyDescent="0.2">
      <c r="A84" t="s">
        <v>2113</v>
      </c>
      <c r="B84">
        <v>0</v>
      </c>
    </row>
    <row r="85" spans="1:2" x14ac:dyDescent="0.2">
      <c r="A85" t="s">
        <v>2114</v>
      </c>
      <c r="B85">
        <v>0</v>
      </c>
    </row>
    <row r="86" spans="1:2" x14ac:dyDescent="0.2">
      <c r="A86" t="s">
        <v>2115</v>
      </c>
      <c r="B86">
        <v>0</v>
      </c>
    </row>
    <row r="87" spans="1:2" x14ac:dyDescent="0.2">
      <c r="A87" t="s">
        <v>2116</v>
      </c>
      <c r="B87">
        <v>0</v>
      </c>
    </row>
    <row r="88" spans="1:2" x14ac:dyDescent="0.2">
      <c r="A88" t="s">
        <v>2117</v>
      </c>
      <c r="B88">
        <v>0</v>
      </c>
    </row>
    <row r="89" spans="1:2" x14ac:dyDescent="0.2">
      <c r="A89" t="s">
        <v>2118</v>
      </c>
      <c r="B89">
        <v>0</v>
      </c>
    </row>
    <row r="90" spans="1:2" x14ac:dyDescent="0.2">
      <c r="A90" t="s">
        <v>2119</v>
      </c>
      <c r="B90">
        <v>0</v>
      </c>
    </row>
    <row r="91" spans="1:2" x14ac:dyDescent="0.2">
      <c r="A91" t="s">
        <v>2120</v>
      </c>
      <c r="B91">
        <v>0</v>
      </c>
    </row>
    <row r="92" spans="1:2" x14ac:dyDescent="0.2">
      <c r="A92" t="s">
        <v>2121</v>
      </c>
      <c r="B92">
        <v>0</v>
      </c>
    </row>
    <row r="93" spans="1:2" x14ac:dyDescent="0.2">
      <c r="A93" t="s">
        <v>2122</v>
      </c>
      <c r="B93">
        <v>0</v>
      </c>
    </row>
    <row r="94" spans="1:2" x14ac:dyDescent="0.2">
      <c r="A94" t="s">
        <v>2123</v>
      </c>
      <c r="B94">
        <v>0</v>
      </c>
    </row>
    <row r="95" spans="1:2" x14ac:dyDescent="0.2">
      <c r="A95" t="s">
        <v>2124</v>
      </c>
      <c r="B95">
        <v>0</v>
      </c>
    </row>
    <row r="96" spans="1:2" x14ac:dyDescent="0.2">
      <c r="A96" t="s">
        <v>2125</v>
      </c>
      <c r="B96">
        <v>0</v>
      </c>
    </row>
    <row r="97" spans="1:2" x14ac:dyDescent="0.2">
      <c r="A97" t="s">
        <v>2126</v>
      </c>
      <c r="B97" t="s">
        <v>4336</v>
      </c>
    </row>
    <row r="98" spans="1:2" x14ac:dyDescent="0.2">
      <c r="A98" t="s">
        <v>2127</v>
      </c>
      <c r="B98" t="s">
        <v>4336</v>
      </c>
    </row>
    <row r="99" spans="1:2" x14ac:dyDescent="0.2">
      <c r="A99" t="s">
        <v>2128</v>
      </c>
      <c r="B99" t="s">
        <v>4336</v>
      </c>
    </row>
    <row r="100" spans="1:2" x14ac:dyDescent="0.2">
      <c r="A100" t="s">
        <v>2129</v>
      </c>
      <c r="B100" t="s">
        <v>4336</v>
      </c>
    </row>
    <row r="101" spans="1:2" x14ac:dyDescent="0.2">
      <c r="A101" t="s">
        <v>2130</v>
      </c>
      <c r="B101" t="s">
        <v>4336</v>
      </c>
    </row>
    <row r="102" spans="1:2" x14ac:dyDescent="0.2">
      <c r="A102" t="s">
        <v>2131</v>
      </c>
      <c r="B102" t="s">
        <v>4336</v>
      </c>
    </row>
    <row r="103" spans="1:2" x14ac:dyDescent="0.2">
      <c r="A103" t="s">
        <v>2132</v>
      </c>
      <c r="B103" t="s">
        <v>4336</v>
      </c>
    </row>
    <row r="104" spans="1:2" x14ac:dyDescent="0.2">
      <c r="A104" t="s">
        <v>2133</v>
      </c>
      <c r="B104" t="s">
        <v>4336</v>
      </c>
    </row>
    <row r="105" spans="1:2" x14ac:dyDescent="0.2">
      <c r="A105" t="s">
        <v>2134</v>
      </c>
      <c r="B105" t="s">
        <v>4336</v>
      </c>
    </row>
    <row r="106" spans="1:2" x14ac:dyDescent="0.2">
      <c r="A106" t="s">
        <v>2135</v>
      </c>
      <c r="B106" t="s">
        <v>4336</v>
      </c>
    </row>
    <row r="107" spans="1:2" x14ac:dyDescent="0.2">
      <c r="A107" t="s">
        <v>2136</v>
      </c>
      <c r="B107" t="s">
        <v>4336</v>
      </c>
    </row>
    <row r="108" spans="1:2" x14ac:dyDescent="0.2">
      <c r="A108" t="s">
        <v>2137</v>
      </c>
      <c r="B108" t="s">
        <v>4336</v>
      </c>
    </row>
    <row r="109" spans="1:2" x14ac:dyDescent="0.2">
      <c r="A109" t="s">
        <v>2138</v>
      </c>
      <c r="B109" t="s">
        <v>4336</v>
      </c>
    </row>
    <row r="110" spans="1:2" x14ac:dyDescent="0.2">
      <c r="A110" t="s">
        <v>2139</v>
      </c>
      <c r="B110" t="s">
        <v>4336</v>
      </c>
    </row>
    <row r="111" spans="1:2" x14ac:dyDescent="0.2">
      <c r="A111" t="s">
        <v>2140</v>
      </c>
      <c r="B111" t="s">
        <v>4336</v>
      </c>
    </row>
    <row r="112" spans="1:2" x14ac:dyDescent="0.2">
      <c r="A112" t="s">
        <v>2141</v>
      </c>
      <c r="B112" t="s">
        <v>4336</v>
      </c>
    </row>
    <row r="113" spans="1:2" x14ac:dyDescent="0.2">
      <c r="A113" t="s">
        <v>2142</v>
      </c>
      <c r="B113" t="s">
        <v>4336</v>
      </c>
    </row>
    <row r="114" spans="1:2" x14ac:dyDescent="0.2">
      <c r="A114" t="s">
        <v>2143</v>
      </c>
      <c r="B114" t="s">
        <v>4336</v>
      </c>
    </row>
    <row r="115" spans="1:2" x14ac:dyDescent="0.2">
      <c r="A115" t="s">
        <v>2144</v>
      </c>
      <c r="B115" t="s">
        <v>4336</v>
      </c>
    </row>
    <row r="116" spans="1:2" x14ac:dyDescent="0.2">
      <c r="A116" t="s">
        <v>2145</v>
      </c>
      <c r="B116" t="s">
        <v>4336</v>
      </c>
    </row>
    <row r="117" spans="1:2" x14ac:dyDescent="0.2">
      <c r="A117" t="s">
        <v>2146</v>
      </c>
      <c r="B117" t="s">
        <v>4336</v>
      </c>
    </row>
    <row r="118" spans="1:2" x14ac:dyDescent="0.2">
      <c r="A118" t="s">
        <v>2147</v>
      </c>
      <c r="B118" t="s">
        <v>4336</v>
      </c>
    </row>
    <row r="119" spans="1:2" x14ac:dyDescent="0.2">
      <c r="A119" t="s">
        <v>2148</v>
      </c>
      <c r="B119" t="s">
        <v>4336</v>
      </c>
    </row>
    <row r="120" spans="1:2" x14ac:dyDescent="0.2">
      <c r="A120" t="s">
        <v>2149</v>
      </c>
      <c r="B120" t="s">
        <v>4336</v>
      </c>
    </row>
    <row r="121" spans="1:2" x14ac:dyDescent="0.2">
      <c r="A121" t="s">
        <v>2150</v>
      </c>
      <c r="B121" t="s">
        <v>4336</v>
      </c>
    </row>
    <row r="122" spans="1:2" x14ac:dyDescent="0.2">
      <c r="A122" t="s">
        <v>2151</v>
      </c>
      <c r="B122" t="s">
        <v>4336</v>
      </c>
    </row>
    <row r="123" spans="1:2" x14ac:dyDescent="0.2">
      <c r="A123" t="s">
        <v>2152</v>
      </c>
      <c r="B123" t="s">
        <v>4336</v>
      </c>
    </row>
    <row r="124" spans="1:2" x14ac:dyDescent="0.2">
      <c r="A124" t="s">
        <v>2153</v>
      </c>
      <c r="B124" t="s">
        <v>4336</v>
      </c>
    </row>
    <row r="125" spans="1:2" x14ac:dyDescent="0.2">
      <c r="A125" t="s">
        <v>2154</v>
      </c>
      <c r="B125" t="s">
        <v>4336</v>
      </c>
    </row>
    <row r="126" spans="1:2" x14ac:dyDescent="0.2">
      <c r="A126" t="s">
        <v>2155</v>
      </c>
      <c r="B126" t="s">
        <v>4336</v>
      </c>
    </row>
    <row r="127" spans="1:2" x14ac:dyDescent="0.2">
      <c r="A127" t="s">
        <v>2156</v>
      </c>
      <c r="B127" t="s">
        <v>4336</v>
      </c>
    </row>
    <row r="128" spans="1:2" x14ac:dyDescent="0.2">
      <c r="A128" t="s">
        <v>2157</v>
      </c>
      <c r="B128" t="s">
        <v>4336</v>
      </c>
    </row>
    <row r="129" spans="1:2" x14ac:dyDescent="0.2">
      <c r="A129" t="s">
        <v>2158</v>
      </c>
      <c r="B129" t="s">
        <v>4336</v>
      </c>
    </row>
    <row r="130" spans="1:2" x14ac:dyDescent="0.2">
      <c r="A130" t="s">
        <v>2159</v>
      </c>
      <c r="B130" t="s">
        <v>4336</v>
      </c>
    </row>
    <row r="131" spans="1:2" x14ac:dyDescent="0.2">
      <c r="A131" t="s">
        <v>2160</v>
      </c>
      <c r="B131" t="s">
        <v>4336</v>
      </c>
    </row>
    <row r="132" spans="1:2" x14ac:dyDescent="0.2">
      <c r="A132" t="s">
        <v>2161</v>
      </c>
      <c r="B132" t="s">
        <v>4336</v>
      </c>
    </row>
    <row r="133" spans="1:2" x14ac:dyDescent="0.2">
      <c r="A133" t="s">
        <v>2162</v>
      </c>
      <c r="B133" t="s">
        <v>4336</v>
      </c>
    </row>
    <row r="134" spans="1:2" x14ac:dyDescent="0.2">
      <c r="A134" t="s">
        <v>2163</v>
      </c>
      <c r="B134" t="s">
        <v>4336</v>
      </c>
    </row>
    <row r="135" spans="1:2" x14ac:dyDescent="0.2">
      <c r="A135" t="s">
        <v>2164</v>
      </c>
      <c r="B135" t="s">
        <v>4336</v>
      </c>
    </row>
    <row r="136" spans="1:2" x14ac:dyDescent="0.2">
      <c r="A136" t="s">
        <v>2165</v>
      </c>
      <c r="B136" t="s">
        <v>4336</v>
      </c>
    </row>
    <row r="137" spans="1:2" x14ac:dyDescent="0.2">
      <c r="A137" t="s">
        <v>2166</v>
      </c>
      <c r="B137" t="s">
        <v>4336</v>
      </c>
    </row>
    <row r="138" spans="1:2" x14ac:dyDescent="0.2">
      <c r="A138" t="s">
        <v>2167</v>
      </c>
      <c r="B138" t="s">
        <v>4336</v>
      </c>
    </row>
    <row r="139" spans="1:2" x14ac:dyDescent="0.2">
      <c r="A139" t="s">
        <v>2168</v>
      </c>
      <c r="B139" t="s">
        <v>4336</v>
      </c>
    </row>
    <row r="140" spans="1:2" x14ac:dyDescent="0.2">
      <c r="A140" t="s">
        <v>2169</v>
      </c>
      <c r="B140" t="s">
        <v>4336</v>
      </c>
    </row>
    <row r="141" spans="1:2" x14ac:dyDescent="0.2">
      <c r="A141" t="s">
        <v>2170</v>
      </c>
      <c r="B141" t="s">
        <v>4336</v>
      </c>
    </row>
    <row r="142" spans="1:2" x14ac:dyDescent="0.2">
      <c r="A142" t="s">
        <v>2171</v>
      </c>
      <c r="B142" t="s">
        <v>4336</v>
      </c>
    </row>
    <row r="143" spans="1:2" x14ac:dyDescent="0.2">
      <c r="A143" t="s">
        <v>2172</v>
      </c>
      <c r="B143" t="s">
        <v>4336</v>
      </c>
    </row>
    <row r="144" spans="1:2" x14ac:dyDescent="0.2">
      <c r="A144" t="s">
        <v>2173</v>
      </c>
      <c r="B144" t="s">
        <v>4336</v>
      </c>
    </row>
    <row r="145" spans="1:2" x14ac:dyDescent="0.2">
      <c r="A145" t="s">
        <v>2174</v>
      </c>
      <c r="B145" t="s">
        <v>4336</v>
      </c>
    </row>
    <row r="146" spans="1:2" x14ac:dyDescent="0.2">
      <c r="A146" t="s">
        <v>2175</v>
      </c>
      <c r="B146" t="s">
        <v>4336</v>
      </c>
    </row>
    <row r="147" spans="1:2" x14ac:dyDescent="0.2">
      <c r="A147" t="s">
        <v>2176</v>
      </c>
      <c r="B147" t="s">
        <v>4336</v>
      </c>
    </row>
    <row r="148" spans="1:2" x14ac:dyDescent="0.2">
      <c r="A148" t="s">
        <v>2177</v>
      </c>
      <c r="B148" t="s">
        <v>4336</v>
      </c>
    </row>
    <row r="149" spans="1:2" x14ac:dyDescent="0.2">
      <c r="A149" t="s">
        <v>2178</v>
      </c>
      <c r="B149" t="s">
        <v>4336</v>
      </c>
    </row>
    <row r="150" spans="1:2" x14ac:dyDescent="0.2">
      <c r="A150" t="s">
        <v>2179</v>
      </c>
      <c r="B150" t="s">
        <v>4336</v>
      </c>
    </row>
    <row r="151" spans="1:2" x14ac:dyDescent="0.2">
      <c r="A151" t="s">
        <v>2180</v>
      </c>
      <c r="B151" t="s">
        <v>4336</v>
      </c>
    </row>
    <row r="152" spans="1:2" x14ac:dyDescent="0.2">
      <c r="A152" t="s">
        <v>2181</v>
      </c>
      <c r="B152" t="s">
        <v>4336</v>
      </c>
    </row>
    <row r="153" spans="1:2" x14ac:dyDescent="0.2">
      <c r="A153" t="s">
        <v>2182</v>
      </c>
      <c r="B153" t="s">
        <v>4336</v>
      </c>
    </row>
    <row r="154" spans="1:2" x14ac:dyDescent="0.2">
      <c r="A154" t="s">
        <v>2183</v>
      </c>
      <c r="B154" t="s">
        <v>4336</v>
      </c>
    </row>
    <row r="155" spans="1:2" x14ac:dyDescent="0.2">
      <c r="A155" t="s">
        <v>2184</v>
      </c>
      <c r="B155" t="s">
        <v>4336</v>
      </c>
    </row>
    <row r="156" spans="1:2" x14ac:dyDescent="0.2">
      <c r="A156" t="s">
        <v>2185</v>
      </c>
      <c r="B156" t="s">
        <v>4336</v>
      </c>
    </row>
    <row r="157" spans="1:2" x14ac:dyDescent="0.2">
      <c r="A157" t="s">
        <v>2186</v>
      </c>
      <c r="B157" t="s">
        <v>4336</v>
      </c>
    </row>
    <row r="158" spans="1:2" x14ac:dyDescent="0.2">
      <c r="A158" t="s">
        <v>2187</v>
      </c>
      <c r="B158" t="s">
        <v>4336</v>
      </c>
    </row>
    <row r="159" spans="1:2" x14ac:dyDescent="0.2">
      <c r="A159" t="s">
        <v>2188</v>
      </c>
      <c r="B159" t="s">
        <v>4336</v>
      </c>
    </row>
    <row r="160" spans="1:2" x14ac:dyDescent="0.2">
      <c r="A160" t="s">
        <v>2189</v>
      </c>
      <c r="B160" t="s">
        <v>4336</v>
      </c>
    </row>
    <row r="161" spans="1:2" x14ac:dyDescent="0.2">
      <c r="A161" t="s">
        <v>2190</v>
      </c>
      <c r="B161" t="s">
        <v>4336</v>
      </c>
    </row>
    <row r="162" spans="1:2" x14ac:dyDescent="0.2">
      <c r="A162" t="s">
        <v>2191</v>
      </c>
      <c r="B162" t="s">
        <v>4336</v>
      </c>
    </row>
    <row r="163" spans="1:2" x14ac:dyDescent="0.2">
      <c r="A163" t="s">
        <v>2192</v>
      </c>
      <c r="B163" t="s">
        <v>4336</v>
      </c>
    </row>
    <row r="164" spans="1:2" x14ac:dyDescent="0.2">
      <c r="A164" t="s">
        <v>2193</v>
      </c>
      <c r="B164" t="s">
        <v>4336</v>
      </c>
    </row>
    <row r="165" spans="1:2" x14ac:dyDescent="0.2">
      <c r="A165" t="s">
        <v>2194</v>
      </c>
      <c r="B165" t="s">
        <v>4336</v>
      </c>
    </row>
    <row r="166" spans="1:2" x14ac:dyDescent="0.2">
      <c r="A166" t="s">
        <v>2195</v>
      </c>
      <c r="B166" t="s">
        <v>4336</v>
      </c>
    </row>
    <row r="167" spans="1:2" x14ac:dyDescent="0.2">
      <c r="A167" t="s">
        <v>2196</v>
      </c>
      <c r="B167" t="s">
        <v>4336</v>
      </c>
    </row>
    <row r="168" spans="1:2" x14ac:dyDescent="0.2">
      <c r="A168" t="s">
        <v>2197</v>
      </c>
      <c r="B168" t="s">
        <v>4336</v>
      </c>
    </row>
    <row r="169" spans="1:2" x14ac:dyDescent="0.2">
      <c r="A169" t="s">
        <v>2198</v>
      </c>
      <c r="B169" t="s">
        <v>4336</v>
      </c>
    </row>
    <row r="170" spans="1:2" x14ac:dyDescent="0.2">
      <c r="A170" t="s">
        <v>2199</v>
      </c>
      <c r="B170" t="s">
        <v>4336</v>
      </c>
    </row>
    <row r="171" spans="1:2" x14ac:dyDescent="0.2">
      <c r="A171" t="s">
        <v>2200</v>
      </c>
      <c r="B171" t="s">
        <v>4336</v>
      </c>
    </row>
    <row r="172" spans="1:2" x14ac:dyDescent="0.2">
      <c r="A172" t="s">
        <v>2201</v>
      </c>
      <c r="B172" t="s">
        <v>4336</v>
      </c>
    </row>
    <row r="173" spans="1:2" x14ac:dyDescent="0.2">
      <c r="A173" t="s">
        <v>2202</v>
      </c>
      <c r="B173" t="s">
        <v>4336</v>
      </c>
    </row>
    <row r="174" spans="1:2" x14ac:dyDescent="0.2">
      <c r="A174" t="s">
        <v>2203</v>
      </c>
      <c r="B174" t="s">
        <v>4336</v>
      </c>
    </row>
    <row r="175" spans="1:2" x14ac:dyDescent="0.2">
      <c r="A175" t="s">
        <v>2204</v>
      </c>
      <c r="B175" t="s">
        <v>4336</v>
      </c>
    </row>
    <row r="176" spans="1:2" x14ac:dyDescent="0.2">
      <c r="A176" t="s">
        <v>2205</v>
      </c>
      <c r="B176" t="s">
        <v>4336</v>
      </c>
    </row>
    <row r="177" spans="1:2" x14ac:dyDescent="0.2">
      <c r="A177" t="s">
        <v>2206</v>
      </c>
      <c r="B177" t="s">
        <v>4336</v>
      </c>
    </row>
    <row r="178" spans="1:2" x14ac:dyDescent="0.2">
      <c r="A178" t="s">
        <v>2207</v>
      </c>
      <c r="B178" t="s">
        <v>4336</v>
      </c>
    </row>
    <row r="179" spans="1:2" x14ac:dyDescent="0.2">
      <c r="A179" t="s">
        <v>2208</v>
      </c>
      <c r="B179" t="s">
        <v>4336</v>
      </c>
    </row>
    <row r="180" spans="1:2" x14ac:dyDescent="0.2">
      <c r="A180" t="s">
        <v>2209</v>
      </c>
      <c r="B180" t="s">
        <v>4336</v>
      </c>
    </row>
    <row r="181" spans="1:2" x14ac:dyDescent="0.2">
      <c r="A181" t="s">
        <v>2210</v>
      </c>
      <c r="B181" t="s">
        <v>4336</v>
      </c>
    </row>
    <row r="182" spans="1:2" x14ac:dyDescent="0.2">
      <c r="A182" t="s">
        <v>2211</v>
      </c>
      <c r="B182" t="s">
        <v>4336</v>
      </c>
    </row>
    <row r="183" spans="1:2" x14ac:dyDescent="0.2">
      <c r="A183" t="s">
        <v>2212</v>
      </c>
      <c r="B183" t="s">
        <v>4336</v>
      </c>
    </row>
    <row r="184" spans="1:2" x14ac:dyDescent="0.2">
      <c r="A184" t="s">
        <v>2213</v>
      </c>
      <c r="B184" t="s">
        <v>4336</v>
      </c>
    </row>
    <row r="185" spans="1:2" x14ac:dyDescent="0.2">
      <c r="A185" t="s">
        <v>2214</v>
      </c>
      <c r="B185" t="s">
        <v>4336</v>
      </c>
    </row>
    <row r="186" spans="1:2" x14ac:dyDescent="0.2">
      <c r="A186" t="s">
        <v>2215</v>
      </c>
      <c r="B186" t="s">
        <v>4336</v>
      </c>
    </row>
    <row r="187" spans="1:2" x14ac:dyDescent="0.2">
      <c r="A187" t="s">
        <v>2216</v>
      </c>
      <c r="B187" t="s">
        <v>4336</v>
      </c>
    </row>
    <row r="188" spans="1:2" x14ac:dyDescent="0.2">
      <c r="A188" t="s">
        <v>2217</v>
      </c>
      <c r="B188" t="s">
        <v>4336</v>
      </c>
    </row>
    <row r="189" spans="1:2" x14ac:dyDescent="0.2">
      <c r="A189" t="s">
        <v>2218</v>
      </c>
      <c r="B189" t="s">
        <v>4336</v>
      </c>
    </row>
    <row r="190" spans="1:2" x14ac:dyDescent="0.2">
      <c r="A190" t="s">
        <v>2219</v>
      </c>
      <c r="B190" t="s">
        <v>4336</v>
      </c>
    </row>
    <row r="191" spans="1:2" x14ac:dyDescent="0.2">
      <c r="A191" t="s">
        <v>2220</v>
      </c>
      <c r="B191" t="s">
        <v>4336</v>
      </c>
    </row>
    <row r="192" spans="1:2" x14ac:dyDescent="0.2">
      <c r="A192" t="s">
        <v>2221</v>
      </c>
      <c r="B192" t="s">
        <v>4336</v>
      </c>
    </row>
    <row r="193" spans="1:2" x14ac:dyDescent="0.2">
      <c r="A193" t="s">
        <v>2222</v>
      </c>
      <c r="B193" t="s">
        <v>4336</v>
      </c>
    </row>
    <row r="194" spans="1:2" x14ac:dyDescent="0.2">
      <c r="A194" t="s">
        <v>2223</v>
      </c>
      <c r="B194" t="s">
        <v>4336</v>
      </c>
    </row>
    <row r="195" spans="1:2" x14ac:dyDescent="0.2">
      <c r="A195" t="s">
        <v>2224</v>
      </c>
      <c r="B195" t="s">
        <v>4336</v>
      </c>
    </row>
    <row r="196" spans="1:2" x14ac:dyDescent="0.2">
      <c r="A196" t="s">
        <v>2225</v>
      </c>
      <c r="B196" t="s">
        <v>4336</v>
      </c>
    </row>
    <row r="197" spans="1:2" x14ac:dyDescent="0.2">
      <c r="A197" t="s">
        <v>2226</v>
      </c>
      <c r="B197" t="s">
        <v>4336</v>
      </c>
    </row>
    <row r="198" spans="1:2" x14ac:dyDescent="0.2">
      <c r="A198" t="s">
        <v>2227</v>
      </c>
      <c r="B198" t="s">
        <v>4336</v>
      </c>
    </row>
    <row r="199" spans="1:2" x14ac:dyDescent="0.2">
      <c r="A199" t="s">
        <v>2228</v>
      </c>
      <c r="B199" t="s">
        <v>4336</v>
      </c>
    </row>
    <row r="200" spans="1:2" x14ac:dyDescent="0.2">
      <c r="A200" t="s">
        <v>2229</v>
      </c>
      <c r="B200" t="s">
        <v>4336</v>
      </c>
    </row>
    <row r="201" spans="1:2" x14ac:dyDescent="0.2">
      <c r="A201" t="s">
        <v>2230</v>
      </c>
      <c r="B201" t="s">
        <v>4336</v>
      </c>
    </row>
    <row r="202" spans="1:2" x14ac:dyDescent="0.2">
      <c r="A202" t="s">
        <v>2231</v>
      </c>
      <c r="B202" t="s">
        <v>4336</v>
      </c>
    </row>
    <row r="203" spans="1:2" x14ac:dyDescent="0.2">
      <c r="A203" t="s">
        <v>2232</v>
      </c>
      <c r="B203" t="s">
        <v>4336</v>
      </c>
    </row>
    <row r="204" spans="1:2" x14ac:dyDescent="0.2">
      <c r="A204" t="s">
        <v>2233</v>
      </c>
      <c r="B204" t="s">
        <v>4336</v>
      </c>
    </row>
    <row r="205" spans="1:2" x14ac:dyDescent="0.2">
      <c r="A205" t="s">
        <v>2234</v>
      </c>
      <c r="B205" t="s">
        <v>4336</v>
      </c>
    </row>
    <row r="206" spans="1:2" x14ac:dyDescent="0.2">
      <c r="A206" t="s">
        <v>2235</v>
      </c>
      <c r="B206" t="s">
        <v>4336</v>
      </c>
    </row>
    <row r="207" spans="1:2" x14ac:dyDescent="0.2">
      <c r="A207" t="s">
        <v>2236</v>
      </c>
      <c r="B207" t="s">
        <v>4336</v>
      </c>
    </row>
    <row r="208" spans="1:2" x14ac:dyDescent="0.2">
      <c r="A208" t="s">
        <v>2237</v>
      </c>
      <c r="B208" t="s">
        <v>4336</v>
      </c>
    </row>
    <row r="209" spans="1:2" x14ac:dyDescent="0.2">
      <c r="A209" t="s">
        <v>2238</v>
      </c>
      <c r="B209" t="s">
        <v>4336</v>
      </c>
    </row>
    <row r="210" spans="1:2" x14ac:dyDescent="0.2">
      <c r="A210" t="s">
        <v>2239</v>
      </c>
      <c r="B210" t="s">
        <v>4336</v>
      </c>
    </row>
    <row r="211" spans="1:2" x14ac:dyDescent="0.2">
      <c r="A211" t="s">
        <v>2240</v>
      </c>
      <c r="B211" t="s">
        <v>4336</v>
      </c>
    </row>
    <row r="212" spans="1:2" x14ac:dyDescent="0.2">
      <c r="A212" t="s">
        <v>2241</v>
      </c>
      <c r="B212" t="s">
        <v>4336</v>
      </c>
    </row>
    <row r="213" spans="1:2" x14ac:dyDescent="0.2">
      <c r="A213" t="s">
        <v>2242</v>
      </c>
      <c r="B213" t="s">
        <v>4336</v>
      </c>
    </row>
    <row r="214" spans="1:2" x14ac:dyDescent="0.2">
      <c r="A214" t="s">
        <v>2243</v>
      </c>
      <c r="B214" t="s">
        <v>4336</v>
      </c>
    </row>
    <row r="215" spans="1:2" x14ac:dyDescent="0.2">
      <c r="A215" t="s">
        <v>2244</v>
      </c>
      <c r="B215" t="s">
        <v>4336</v>
      </c>
    </row>
    <row r="216" spans="1:2" x14ac:dyDescent="0.2">
      <c r="A216" t="s">
        <v>2245</v>
      </c>
      <c r="B216" t="s">
        <v>4336</v>
      </c>
    </row>
    <row r="217" spans="1:2" x14ac:dyDescent="0.2">
      <c r="A217" t="s">
        <v>2246</v>
      </c>
      <c r="B217">
        <v>0</v>
      </c>
    </row>
    <row r="218" spans="1:2" x14ac:dyDescent="0.2">
      <c r="A218" t="s">
        <v>2247</v>
      </c>
      <c r="B218">
        <v>0</v>
      </c>
    </row>
    <row r="219" spans="1:2" x14ac:dyDescent="0.2">
      <c r="A219" t="s">
        <v>2248</v>
      </c>
      <c r="B219">
        <v>0</v>
      </c>
    </row>
    <row r="220" spans="1:2" x14ac:dyDescent="0.2">
      <c r="A220" t="s">
        <v>2249</v>
      </c>
      <c r="B220">
        <v>0</v>
      </c>
    </row>
    <row r="221" spans="1:2" x14ac:dyDescent="0.2">
      <c r="A221" t="s">
        <v>2250</v>
      </c>
      <c r="B221">
        <v>0</v>
      </c>
    </row>
    <row r="222" spans="1:2" x14ac:dyDescent="0.2">
      <c r="A222" t="s">
        <v>2251</v>
      </c>
      <c r="B222">
        <v>0</v>
      </c>
    </row>
    <row r="223" spans="1:2" x14ac:dyDescent="0.2">
      <c r="A223" t="s">
        <v>2252</v>
      </c>
      <c r="B223">
        <v>0</v>
      </c>
    </row>
    <row r="224" spans="1:2" x14ac:dyDescent="0.2">
      <c r="A224" t="s">
        <v>2253</v>
      </c>
      <c r="B224">
        <v>0</v>
      </c>
    </row>
    <row r="225" spans="1:2" x14ac:dyDescent="0.2">
      <c r="A225" t="s">
        <v>2254</v>
      </c>
      <c r="B225">
        <v>0</v>
      </c>
    </row>
    <row r="226" spans="1:2" x14ac:dyDescent="0.2">
      <c r="A226" t="s">
        <v>2255</v>
      </c>
      <c r="B226">
        <v>0</v>
      </c>
    </row>
    <row r="227" spans="1:2" x14ac:dyDescent="0.2">
      <c r="A227" t="s">
        <v>2256</v>
      </c>
      <c r="B227">
        <v>0</v>
      </c>
    </row>
    <row r="228" spans="1:2" x14ac:dyDescent="0.2">
      <c r="A228" t="s">
        <v>2257</v>
      </c>
      <c r="B228">
        <v>0</v>
      </c>
    </row>
    <row r="229" spans="1:2" x14ac:dyDescent="0.2">
      <c r="A229" t="s">
        <v>2258</v>
      </c>
      <c r="B229">
        <v>0</v>
      </c>
    </row>
    <row r="230" spans="1:2" x14ac:dyDescent="0.2">
      <c r="A230" t="s">
        <v>2259</v>
      </c>
      <c r="B230">
        <v>0</v>
      </c>
    </row>
    <row r="231" spans="1:2" x14ac:dyDescent="0.2">
      <c r="A231" t="s">
        <v>2260</v>
      </c>
      <c r="B231">
        <v>0</v>
      </c>
    </row>
    <row r="232" spans="1:2" x14ac:dyDescent="0.2">
      <c r="A232" t="s">
        <v>2261</v>
      </c>
      <c r="B232">
        <v>0</v>
      </c>
    </row>
    <row r="233" spans="1:2" x14ac:dyDescent="0.2">
      <c r="A233" t="s">
        <v>2262</v>
      </c>
      <c r="B233">
        <v>0</v>
      </c>
    </row>
    <row r="234" spans="1:2" x14ac:dyDescent="0.2">
      <c r="A234" t="s">
        <v>2263</v>
      </c>
      <c r="B234">
        <v>0</v>
      </c>
    </row>
    <row r="235" spans="1:2" x14ac:dyDescent="0.2">
      <c r="A235" t="s">
        <v>2264</v>
      </c>
      <c r="B235">
        <v>0</v>
      </c>
    </row>
    <row r="236" spans="1:2" x14ac:dyDescent="0.2">
      <c r="A236" t="s">
        <v>2265</v>
      </c>
      <c r="B236">
        <v>0</v>
      </c>
    </row>
    <row r="237" spans="1:2" x14ac:dyDescent="0.2">
      <c r="A237" t="s">
        <v>2266</v>
      </c>
      <c r="B237">
        <v>0</v>
      </c>
    </row>
    <row r="238" spans="1:2" x14ac:dyDescent="0.2">
      <c r="A238" t="s">
        <v>2267</v>
      </c>
      <c r="B238">
        <v>0</v>
      </c>
    </row>
    <row r="239" spans="1:2" x14ac:dyDescent="0.2">
      <c r="A239" t="s">
        <v>2268</v>
      </c>
      <c r="B239">
        <v>0</v>
      </c>
    </row>
    <row r="240" spans="1:2" x14ac:dyDescent="0.2">
      <c r="A240" t="s">
        <v>2269</v>
      </c>
      <c r="B240">
        <v>0</v>
      </c>
    </row>
    <row r="241" spans="1:2" x14ac:dyDescent="0.2">
      <c r="A241" t="s">
        <v>2270</v>
      </c>
      <c r="B241">
        <v>0</v>
      </c>
    </row>
    <row r="242" spans="1:2" x14ac:dyDescent="0.2">
      <c r="A242" t="s">
        <v>2271</v>
      </c>
      <c r="B242">
        <v>0</v>
      </c>
    </row>
    <row r="243" spans="1:2" x14ac:dyDescent="0.2">
      <c r="A243" t="s">
        <v>2272</v>
      </c>
      <c r="B243">
        <v>0</v>
      </c>
    </row>
    <row r="244" spans="1:2" x14ac:dyDescent="0.2">
      <c r="A244" t="s">
        <v>2273</v>
      </c>
      <c r="B244">
        <v>0</v>
      </c>
    </row>
    <row r="245" spans="1:2" x14ac:dyDescent="0.2">
      <c r="A245" t="s">
        <v>2274</v>
      </c>
      <c r="B245">
        <v>0</v>
      </c>
    </row>
    <row r="246" spans="1:2" x14ac:dyDescent="0.2">
      <c r="A246" t="s">
        <v>2275</v>
      </c>
      <c r="B246">
        <v>0</v>
      </c>
    </row>
    <row r="247" spans="1:2" x14ac:dyDescent="0.2">
      <c r="A247" t="s">
        <v>2306</v>
      </c>
      <c r="B247">
        <v>0</v>
      </c>
    </row>
    <row r="248" spans="1:2" x14ac:dyDescent="0.2">
      <c r="A248" t="s">
        <v>2307</v>
      </c>
      <c r="B248">
        <v>0</v>
      </c>
    </row>
    <row r="249" spans="1:2" x14ac:dyDescent="0.2">
      <c r="A249" t="s">
        <v>2308</v>
      </c>
      <c r="B249">
        <v>0</v>
      </c>
    </row>
    <row r="250" spans="1:2" x14ac:dyDescent="0.2">
      <c r="A250" t="s">
        <v>2309</v>
      </c>
      <c r="B250">
        <v>0</v>
      </c>
    </row>
    <row r="251" spans="1:2" x14ac:dyDescent="0.2">
      <c r="A251" t="s">
        <v>2310</v>
      </c>
      <c r="B251">
        <v>0</v>
      </c>
    </row>
    <row r="252" spans="1:2" x14ac:dyDescent="0.2">
      <c r="A252" t="s">
        <v>2311</v>
      </c>
      <c r="B252">
        <v>0</v>
      </c>
    </row>
    <row r="253" spans="1:2" x14ac:dyDescent="0.2">
      <c r="A253" t="s">
        <v>2312</v>
      </c>
      <c r="B253">
        <v>0</v>
      </c>
    </row>
    <row r="254" spans="1:2" x14ac:dyDescent="0.2">
      <c r="A254" t="s">
        <v>2313</v>
      </c>
      <c r="B254">
        <v>0</v>
      </c>
    </row>
    <row r="255" spans="1:2" x14ac:dyDescent="0.2">
      <c r="A255" t="s">
        <v>2314</v>
      </c>
      <c r="B255">
        <v>0</v>
      </c>
    </row>
    <row r="256" spans="1:2" x14ac:dyDescent="0.2">
      <c r="A256" t="s">
        <v>2315</v>
      </c>
      <c r="B256">
        <v>0</v>
      </c>
    </row>
    <row r="257" spans="1:2" x14ac:dyDescent="0.2">
      <c r="A257" t="s">
        <v>2316</v>
      </c>
      <c r="B257">
        <v>0</v>
      </c>
    </row>
    <row r="258" spans="1:2" x14ac:dyDescent="0.2">
      <c r="A258" t="s">
        <v>2317</v>
      </c>
      <c r="B258">
        <v>0</v>
      </c>
    </row>
    <row r="259" spans="1:2" x14ac:dyDescent="0.2">
      <c r="A259" t="s">
        <v>2318</v>
      </c>
      <c r="B259">
        <v>0</v>
      </c>
    </row>
    <row r="260" spans="1:2" x14ac:dyDescent="0.2">
      <c r="A260" t="s">
        <v>2319</v>
      </c>
      <c r="B260">
        <v>0</v>
      </c>
    </row>
    <row r="261" spans="1:2" x14ac:dyDescent="0.2">
      <c r="A261" t="s">
        <v>2320</v>
      </c>
      <c r="B261">
        <v>0</v>
      </c>
    </row>
    <row r="262" spans="1:2" x14ac:dyDescent="0.2">
      <c r="A262" t="s">
        <v>2321</v>
      </c>
      <c r="B262">
        <v>0</v>
      </c>
    </row>
    <row r="263" spans="1:2" x14ac:dyDescent="0.2">
      <c r="A263" t="s">
        <v>2322</v>
      </c>
      <c r="B263">
        <v>0</v>
      </c>
    </row>
    <row r="264" spans="1:2" x14ac:dyDescent="0.2">
      <c r="A264" t="s">
        <v>2323</v>
      </c>
      <c r="B264">
        <v>0</v>
      </c>
    </row>
    <row r="265" spans="1:2" x14ac:dyDescent="0.2">
      <c r="A265" t="s">
        <v>2324</v>
      </c>
      <c r="B265">
        <v>0</v>
      </c>
    </row>
    <row r="266" spans="1:2" x14ac:dyDescent="0.2">
      <c r="A266" t="s">
        <v>2325</v>
      </c>
      <c r="B266">
        <v>0</v>
      </c>
    </row>
    <row r="267" spans="1:2" x14ac:dyDescent="0.2">
      <c r="A267" t="s">
        <v>2326</v>
      </c>
      <c r="B267">
        <v>0</v>
      </c>
    </row>
    <row r="268" spans="1:2" x14ac:dyDescent="0.2">
      <c r="A268" t="s">
        <v>2327</v>
      </c>
      <c r="B268">
        <v>0</v>
      </c>
    </row>
    <row r="269" spans="1:2" x14ac:dyDescent="0.2">
      <c r="A269" t="s">
        <v>2328</v>
      </c>
      <c r="B269">
        <v>0</v>
      </c>
    </row>
    <row r="270" spans="1:2" x14ac:dyDescent="0.2">
      <c r="A270" t="s">
        <v>2329</v>
      </c>
      <c r="B270">
        <v>0</v>
      </c>
    </row>
    <row r="271" spans="1:2" x14ac:dyDescent="0.2">
      <c r="A271" t="s">
        <v>2330</v>
      </c>
      <c r="B271">
        <v>0</v>
      </c>
    </row>
    <row r="272" spans="1:2" x14ac:dyDescent="0.2">
      <c r="A272" t="s">
        <v>2331</v>
      </c>
      <c r="B272">
        <v>0</v>
      </c>
    </row>
    <row r="273" spans="1:2" x14ac:dyDescent="0.2">
      <c r="A273" t="s">
        <v>2332</v>
      </c>
      <c r="B273">
        <v>0</v>
      </c>
    </row>
    <row r="274" spans="1:2" x14ac:dyDescent="0.2">
      <c r="A274" t="s">
        <v>2333</v>
      </c>
      <c r="B274">
        <v>0</v>
      </c>
    </row>
    <row r="275" spans="1:2" x14ac:dyDescent="0.2">
      <c r="A275" t="s">
        <v>2334</v>
      </c>
      <c r="B275">
        <v>0</v>
      </c>
    </row>
    <row r="276" spans="1:2" x14ac:dyDescent="0.2">
      <c r="A276" t="s">
        <v>2335</v>
      </c>
      <c r="B276">
        <v>0</v>
      </c>
    </row>
    <row r="277" spans="1:2" x14ac:dyDescent="0.2">
      <c r="A277" t="s">
        <v>2336</v>
      </c>
      <c r="B277" t="s">
        <v>4336</v>
      </c>
    </row>
    <row r="278" spans="1:2" x14ac:dyDescent="0.2">
      <c r="A278" t="s">
        <v>2337</v>
      </c>
      <c r="B278" t="s">
        <v>4336</v>
      </c>
    </row>
    <row r="279" spans="1:2" x14ac:dyDescent="0.2">
      <c r="A279" t="s">
        <v>2338</v>
      </c>
      <c r="B279" t="s">
        <v>4336</v>
      </c>
    </row>
    <row r="280" spans="1:2" x14ac:dyDescent="0.2">
      <c r="A280" t="s">
        <v>2339</v>
      </c>
      <c r="B280" t="s">
        <v>4336</v>
      </c>
    </row>
    <row r="281" spans="1:2" x14ac:dyDescent="0.2">
      <c r="A281" t="s">
        <v>2340</v>
      </c>
      <c r="B281" t="s">
        <v>4336</v>
      </c>
    </row>
    <row r="282" spans="1:2" x14ac:dyDescent="0.2">
      <c r="A282" t="s">
        <v>2341</v>
      </c>
      <c r="B282" t="s">
        <v>4336</v>
      </c>
    </row>
    <row r="283" spans="1:2" x14ac:dyDescent="0.2">
      <c r="A283" t="s">
        <v>2342</v>
      </c>
      <c r="B283" t="s">
        <v>4336</v>
      </c>
    </row>
    <row r="284" spans="1:2" x14ac:dyDescent="0.2">
      <c r="A284" t="s">
        <v>2343</v>
      </c>
      <c r="B284" t="s">
        <v>4336</v>
      </c>
    </row>
    <row r="285" spans="1:2" x14ac:dyDescent="0.2">
      <c r="A285" t="s">
        <v>2344</v>
      </c>
      <c r="B285" t="s">
        <v>4336</v>
      </c>
    </row>
    <row r="286" spans="1:2" x14ac:dyDescent="0.2">
      <c r="A286" t="s">
        <v>2345</v>
      </c>
      <c r="B286" t="s">
        <v>4336</v>
      </c>
    </row>
    <row r="287" spans="1:2" x14ac:dyDescent="0.2">
      <c r="A287" t="s">
        <v>2346</v>
      </c>
      <c r="B287" t="s">
        <v>4336</v>
      </c>
    </row>
    <row r="288" spans="1:2" x14ac:dyDescent="0.2">
      <c r="A288" t="s">
        <v>2347</v>
      </c>
      <c r="B288" t="s">
        <v>4336</v>
      </c>
    </row>
    <row r="289" spans="1:2" x14ac:dyDescent="0.2">
      <c r="A289" t="s">
        <v>2348</v>
      </c>
      <c r="B289" t="s">
        <v>4336</v>
      </c>
    </row>
    <row r="290" spans="1:2" x14ac:dyDescent="0.2">
      <c r="A290" t="s">
        <v>2349</v>
      </c>
      <c r="B290" t="s">
        <v>4336</v>
      </c>
    </row>
    <row r="291" spans="1:2" x14ac:dyDescent="0.2">
      <c r="A291" t="s">
        <v>2350</v>
      </c>
      <c r="B291" t="s">
        <v>4336</v>
      </c>
    </row>
    <row r="292" spans="1:2" x14ac:dyDescent="0.2">
      <c r="A292" t="s">
        <v>2351</v>
      </c>
      <c r="B292" t="s">
        <v>4336</v>
      </c>
    </row>
    <row r="293" spans="1:2" x14ac:dyDescent="0.2">
      <c r="A293" t="s">
        <v>2352</v>
      </c>
      <c r="B293" t="s">
        <v>4336</v>
      </c>
    </row>
    <row r="294" spans="1:2" x14ac:dyDescent="0.2">
      <c r="A294" t="s">
        <v>2353</v>
      </c>
      <c r="B294" t="s">
        <v>4336</v>
      </c>
    </row>
    <row r="295" spans="1:2" x14ac:dyDescent="0.2">
      <c r="A295" t="s">
        <v>2354</v>
      </c>
      <c r="B295" t="s">
        <v>4336</v>
      </c>
    </row>
    <row r="296" spans="1:2" x14ac:dyDescent="0.2">
      <c r="A296" t="s">
        <v>2355</v>
      </c>
      <c r="B296" t="s">
        <v>4336</v>
      </c>
    </row>
    <row r="297" spans="1:2" x14ac:dyDescent="0.2">
      <c r="A297" t="s">
        <v>2356</v>
      </c>
      <c r="B297" t="s">
        <v>4336</v>
      </c>
    </row>
    <row r="298" spans="1:2" x14ac:dyDescent="0.2">
      <c r="A298" t="s">
        <v>2357</v>
      </c>
      <c r="B298" t="s">
        <v>4336</v>
      </c>
    </row>
    <row r="299" spans="1:2" x14ac:dyDescent="0.2">
      <c r="A299" t="s">
        <v>2358</v>
      </c>
      <c r="B299" t="s">
        <v>4336</v>
      </c>
    </row>
    <row r="300" spans="1:2" x14ac:dyDescent="0.2">
      <c r="A300" t="s">
        <v>2359</v>
      </c>
      <c r="B300" t="s">
        <v>4336</v>
      </c>
    </row>
    <row r="301" spans="1:2" x14ac:dyDescent="0.2">
      <c r="A301" t="s">
        <v>2360</v>
      </c>
      <c r="B301" t="s">
        <v>4336</v>
      </c>
    </row>
    <row r="302" spans="1:2" x14ac:dyDescent="0.2">
      <c r="A302" t="s">
        <v>2361</v>
      </c>
      <c r="B302" t="s">
        <v>4336</v>
      </c>
    </row>
    <row r="303" spans="1:2" x14ac:dyDescent="0.2">
      <c r="A303" t="s">
        <v>2362</v>
      </c>
      <c r="B303" t="s">
        <v>4336</v>
      </c>
    </row>
    <row r="304" spans="1:2" x14ac:dyDescent="0.2">
      <c r="A304" t="s">
        <v>2363</v>
      </c>
      <c r="B304" t="s">
        <v>4336</v>
      </c>
    </row>
    <row r="305" spans="1:2" x14ac:dyDescent="0.2">
      <c r="A305" t="s">
        <v>2364</v>
      </c>
      <c r="B305" t="s">
        <v>4336</v>
      </c>
    </row>
    <row r="306" spans="1:2" x14ac:dyDescent="0.2">
      <c r="A306" t="s">
        <v>2365</v>
      </c>
      <c r="B306" t="s">
        <v>4336</v>
      </c>
    </row>
    <row r="307" spans="1:2" x14ac:dyDescent="0.2">
      <c r="A307" t="s">
        <v>4187</v>
      </c>
      <c r="B307" t="b">
        <v>0</v>
      </c>
    </row>
    <row r="308" spans="1:2" x14ac:dyDescent="0.2">
      <c r="A308" t="s">
        <v>4188</v>
      </c>
      <c r="B308" t="b">
        <v>0</v>
      </c>
    </row>
    <row r="309" spans="1:2" x14ac:dyDescent="0.2">
      <c r="A309" t="s">
        <v>4189</v>
      </c>
      <c r="B309" t="b">
        <v>0</v>
      </c>
    </row>
    <row r="310" spans="1:2" x14ac:dyDescent="0.2">
      <c r="A310" t="s">
        <v>4190</v>
      </c>
      <c r="B310" t="b">
        <v>0</v>
      </c>
    </row>
    <row r="311" spans="1:2" x14ac:dyDescent="0.2">
      <c r="A311" t="s">
        <v>4191</v>
      </c>
      <c r="B311" t="b">
        <v>0</v>
      </c>
    </row>
    <row r="312" spans="1:2" x14ac:dyDescent="0.2">
      <c r="A312" t="s">
        <v>4192</v>
      </c>
      <c r="B312" t="b">
        <v>0</v>
      </c>
    </row>
    <row r="313" spans="1:2" x14ac:dyDescent="0.2">
      <c r="A313" t="s">
        <v>4193</v>
      </c>
      <c r="B313" t="b">
        <v>0</v>
      </c>
    </row>
    <row r="314" spans="1:2" x14ac:dyDescent="0.2">
      <c r="A314" t="s">
        <v>4194</v>
      </c>
      <c r="B314" t="b">
        <v>0</v>
      </c>
    </row>
    <row r="315" spans="1:2" x14ac:dyDescent="0.2">
      <c r="A315" t="s">
        <v>4195</v>
      </c>
      <c r="B315" t="b">
        <v>0</v>
      </c>
    </row>
    <row r="316" spans="1:2" x14ac:dyDescent="0.2">
      <c r="A316" t="s">
        <v>4196</v>
      </c>
      <c r="B316" t="b">
        <v>0</v>
      </c>
    </row>
    <row r="317" spans="1:2" x14ac:dyDescent="0.2">
      <c r="A317" t="s">
        <v>4197</v>
      </c>
      <c r="B317" t="b">
        <v>0</v>
      </c>
    </row>
    <row r="318" spans="1:2" x14ac:dyDescent="0.2">
      <c r="A318" t="s">
        <v>4198</v>
      </c>
      <c r="B318" t="b">
        <v>0</v>
      </c>
    </row>
    <row r="319" spans="1:2" x14ac:dyDescent="0.2">
      <c r="A319" t="s">
        <v>4199</v>
      </c>
      <c r="B319" t="b">
        <v>0</v>
      </c>
    </row>
    <row r="320" spans="1:2" x14ac:dyDescent="0.2">
      <c r="A320" t="s">
        <v>4200</v>
      </c>
      <c r="B320" t="b">
        <v>0</v>
      </c>
    </row>
    <row r="321" spans="1:2" x14ac:dyDescent="0.2">
      <c r="A321" t="s">
        <v>4201</v>
      </c>
      <c r="B321" t="b">
        <v>0</v>
      </c>
    </row>
    <row r="322" spans="1:2" x14ac:dyDescent="0.2">
      <c r="A322" t="s">
        <v>4202</v>
      </c>
      <c r="B322" t="b">
        <v>0</v>
      </c>
    </row>
    <row r="323" spans="1:2" x14ac:dyDescent="0.2">
      <c r="A323" t="s">
        <v>4203</v>
      </c>
      <c r="B323" t="b">
        <v>0</v>
      </c>
    </row>
    <row r="324" spans="1:2" x14ac:dyDescent="0.2">
      <c r="A324" t="s">
        <v>4204</v>
      </c>
      <c r="B324" t="b">
        <v>0</v>
      </c>
    </row>
    <row r="325" spans="1:2" x14ac:dyDescent="0.2">
      <c r="A325" t="s">
        <v>4205</v>
      </c>
      <c r="B325" t="b">
        <v>0</v>
      </c>
    </row>
    <row r="326" spans="1:2" x14ac:dyDescent="0.2">
      <c r="A326" t="s">
        <v>4206</v>
      </c>
      <c r="B326" t="b">
        <v>0</v>
      </c>
    </row>
    <row r="327" spans="1:2" x14ac:dyDescent="0.2">
      <c r="A327" t="s">
        <v>4207</v>
      </c>
      <c r="B327" t="b">
        <v>0</v>
      </c>
    </row>
    <row r="328" spans="1:2" x14ac:dyDescent="0.2">
      <c r="A328" t="s">
        <v>4208</v>
      </c>
      <c r="B328" t="b">
        <v>0</v>
      </c>
    </row>
    <row r="329" spans="1:2" x14ac:dyDescent="0.2">
      <c r="A329" t="s">
        <v>4209</v>
      </c>
      <c r="B329" t="b">
        <v>0</v>
      </c>
    </row>
    <row r="330" spans="1:2" x14ac:dyDescent="0.2">
      <c r="A330" t="s">
        <v>4210</v>
      </c>
      <c r="B330" t="b">
        <v>0</v>
      </c>
    </row>
    <row r="331" spans="1:2" x14ac:dyDescent="0.2">
      <c r="A331" t="s">
        <v>4211</v>
      </c>
      <c r="B331" t="b">
        <v>0</v>
      </c>
    </row>
    <row r="332" spans="1:2" x14ac:dyDescent="0.2">
      <c r="A332" t="s">
        <v>4212</v>
      </c>
      <c r="B332" t="b">
        <v>0</v>
      </c>
    </row>
    <row r="333" spans="1:2" x14ac:dyDescent="0.2">
      <c r="A333" t="s">
        <v>4213</v>
      </c>
      <c r="B333" t="b">
        <v>0</v>
      </c>
    </row>
    <row r="334" spans="1:2" x14ac:dyDescent="0.2">
      <c r="A334" t="s">
        <v>4214</v>
      </c>
      <c r="B334" t="b">
        <v>0</v>
      </c>
    </row>
    <row r="335" spans="1:2" x14ac:dyDescent="0.2">
      <c r="A335" t="s">
        <v>4215</v>
      </c>
      <c r="B335" t="b">
        <v>0</v>
      </c>
    </row>
    <row r="336" spans="1:2" x14ac:dyDescent="0.2">
      <c r="A336" t="s">
        <v>4216</v>
      </c>
      <c r="B336" t="b">
        <v>0</v>
      </c>
    </row>
    <row r="337" spans="1:2" x14ac:dyDescent="0.2">
      <c r="A337" t="s">
        <v>4217</v>
      </c>
      <c r="B337" t="s">
        <v>4336</v>
      </c>
    </row>
    <row r="338" spans="1:2" x14ac:dyDescent="0.2">
      <c r="A338" t="s">
        <v>4218</v>
      </c>
      <c r="B338" t="s">
        <v>4336</v>
      </c>
    </row>
    <row r="339" spans="1:2" x14ac:dyDescent="0.2">
      <c r="A339" t="s">
        <v>4219</v>
      </c>
      <c r="B339" t="s">
        <v>4336</v>
      </c>
    </row>
    <row r="340" spans="1:2" x14ac:dyDescent="0.2">
      <c r="A340" t="s">
        <v>4220</v>
      </c>
      <c r="B340" t="s">
        <v>4336</v>
      </c>
    </row>
    <row r="341" spans="1:2" x14ac:dyDescent="0.2">
      <c r="A341" t="s">
        <v>4221</v>
      </c>
      <c r="B341" t="s">
        <v>4336</v>
      </c>
    </row>
    <row r="342" spans="1:2" x14ac:dyDescent="0.2">
      <c r="A342" t="s">
        <v>4222</v>
      </c>
      <c r="B342" t="s">
        <v>4336</v>
      </c>
    </row>
    <row r="343" spans="1:2" x14ac:dyDescent="0.2">
      <c r="A343" t="s">
        <v>4223</v>
      </c>
      <c r="B343" t="s">
        <v>4336</v>
      </c>
    </row>
    <row r="344" spans="1:2" x14ac:dyDescent="0.2">
      <c r="A344" t="s">
        <v>4224</v>
      </c>
      <c r="B344" t="s">
        <v>4336</v>
      </c>
    </row>
    <row r="345" spans="1:2" x14ac:dyDescent="0.2">
      <c r="A345" t="s">
        <v>4225</v>
      </c>
      <c r="B345" t="s">
        <v>4336</v>
      </c>
    </row>
    <row r="346" spans="1:2" x14ac:dyDescent="0.2">
      <c r="A346" t="s">
        <v>4226</v>
      </c>
      <c r="B346" t="s">
        <v>4336</v>
      </c>
    </row>
    <row r="347" spans="1:2" x14ac:dyDescent="0.2">
      <c r="A347" t="s">
        <v>4227</v>
      </c>
      <c r="B347" t="s">
        <v>4336</v>
      </c>
    </row>
    <row r="348" spans="1:2" x14ac:dyDescent="0.2">
      <c r="A348" t="s">
        <v>4228</v>
      </c>
      <c r="B348" t="s">
        <v>4336</v>
      </c>
    </row>
    <row r="349" spans="1:2" x14ac:dyDescent="0.2">
      <c r="A349" t="s">
        <v>4229</v>
      </c>
      <c r="B349" t="s">
        <v>4336</v>
      </c>
    </row>
    <row r="350" spans="1:2" x14ac:dyDescent="0.2">
      <c r="A350" t="s">
        <v>4230</v>
      </c>
      <c r="B350" t="s">
        <v>4336</v>
      </c>
    </row>
    <row r="351" spans="1:2" x14ac:dyDescent="0.2">
      <c r="A351" t="s">
        <v>4231</v>
      </c>
      <c r="B351" t="s">
        <v>4336</v>
      </c>
    </row>
    <row r="352" spans="1:2" x14ac:dyDescent="0.2">
      <c r="A352" t="s">
        <v>4232</v>
      </c>
      <c r="B352" t="s">
        <v>4336</v>
      </c>
    </row>
    <row r="353" spans="1:2" x14ac:dyDescent="0.2">
      <c r="A353" t="s">
        <v>4233</v>
      </c>
      <c r="B353" t="s">
        <v>4336</v>
      </c>
    </row>
    <row r="354" spans="1:2" x14ac:dyDescent="0.2">
      <c r="A354" t="s">
        <v>4234</v>
      </c>
      <c r="B354" t="s">
        <v>4336</v>
      </c>
    </row>
    <row r="355" spans="1:2" x14ac:dyDescent="0.2">
      <c r="A355" t="s">
        <v>4235</v>
      </c>
      <c r="B355" t="s">
        <v>4336</v>
      </c>
    </row>
    <row r="356" spans="1:2" x14ac:dyDescent="0.2">
      <c r="A356" t="s">
        <v>4236</v>
      </c>
      <c r="B356" t="s">
        <v>4336</v>
      </c>
    </row>
    <row r="357" spans="1:2" x14ac:dyDescent="0.2">
      <c r="A357" t="s">
        <v>4237</v>
      </c>
      <c r="B357" t="s">
        <v>4336</v>
      </c>
    </row>
    <row r="358" spans="1:2" x14ac:dyDescent="0.2">
      <c r="A358" t="s">
        <v>4238</v>
      </c>
      <c r="B358" t="s">
        <v>4336</v>
      </c>
    </row>
    <row r="359" spans="1:2" x14ac:dyDescent="0.2">
      <c r="A359" t="s">
        <v>4239</v>
      </c>
      <c r="B359" t="s">
        <v>4336</v>
      </c>
    </row>
    <row r="360" spans="1:2" x14ac:dyDescent="0.2">
      <c r="A360" t="s">
        <v>4240</v>
      </c>
      <c r="B360" t="s">
        <v>4336</v>
      </c>
    </row>
    <row r="361" spans="1:2" x14ac:dyDescent="0.2">
      <c r="A361" t="s">
        <v>4241</v>
      </c>
      <c r="B361" t="s">
        <v>4336</v>
      </c>
    </row>
    <row r="362" spans="1:2" x14ac:dyDescent="0.2">
      <c r="A362" t="s">
        <v>4242</v>
      </c>
      <c r="B362" t="s">
        <v>4336</v>
      </c>
    </row>
    <row r="363" spans="1:2" x14ac:dyDescent="0.2">
      <c r="A363" t="s">
        <v>4243</v>
      </c>
      <c r="B363" t="s">
        <v>4336</v>
      </c>
    </row>
    <row r="364" spans="1:2" x14ac:dyDescent="0.2">
      <c r="A364" t="s">
        <v>4244</v>
      </c>
      <c r="B364" t="s">
        <v>4336</v>
      </c>
    </row>
    <row r="365" spans="1:2" x14ac:dyDescent="0.2">
      <c r="A365" t="s">
        <v>4245</v>
      </c>
      <c r="B365" t="s">
        <v>4336</v>
      </c>
    </row>
    <row r="366" spans="1:2" x14ac:dyDescent="0.2">
      <c r="A366" t="s">
        <v>4246</v>
      </c>
      <c r="B366" t="s">
        <v>4336</v>
      </c>
    </row>
    <row r="367" spans="1:2" x14ac:dyDescent="0.2">
      <c r="A367" t="s">
        <v>2366</v>
      </c>
      <c r="B367">
        <v>0</v>
      </c>
    </row>
    <row r="368" spans="1:2" x14ac:dyDescent="0.2">
      <c r="A368" t="s">
        <v>2367</v>
      </c>
      <c r="B368">
        <v>0</v>
      </c>
    </row>
    <row r="369" spans="1:2" x14ac:dyDescent="0.2">
      <c r="A369" t="s">
        <v>2368</v>
      </c>
      <c r="B369">
        <v>0</v>
      </c>
    </row>
    <row r="370" spans="1:2" x14ac:dyDescent="0.2">
      <c r="A370" t="s">
        <v>2369</v>
      </c>
      <c r="B370">
        <v>0</v>
      </c>
    </row>
    <row r="371" spans="1:2" x14ac:dyDescent="0.2">
      <c r="A371" t="s">
        <v>2370</v>
      </c>
      <c r="B371">
        <v>0</v>
      </c>
    </row>
    <row r="372" spans="1:2" x14ac:dyDescent="0.2">
      <c r="A372" t="s">
        <v>2371</v>
      </c>
      <c r="B372">
        <v>0</v>
      </c>
    </row>
    <row r="373" spans="1:2" x14ac:dyDescent="0.2">
      <c r="A373" t="s">
        <v>2372</v>
      </c>
      <c r="B373">
        <v>0</v>
      </c>
    </row>
    <row r="374" spans="1:2" x14ac:dyDescent="0.2">
      <c r="A374" t="s">
        <v>2373</v>
      </c>
      <c r="B374">
        <v>0</v>
      </c>
    </row>
    <row r="375" spans="1:2" x14ac:dyDescent="0.2">
      <c r="A375" t="s">
        <v>2374</v>
      </c>
      <c r="B375">
        <v>0</v>
      </c>
    </row>
    <row r="376" spans="1:2" x14ac:dyDescent="0.2">
      <c r="A376" t="s">
        <v>2375</v>
      </c>
      <c r="B376">
        <v>0</v>
      </c>
    </row>
    <row r="377" spans="1:2" x14ac:dyDescent="0.2">
      <c r="A377" t="s">
        <v>2376</v>
      </c>
      <c r="B377">
        <v>0</v>
      </c>
    </row>
    <row r="378" spans="1:2" x14ac:dyDescent="0.2">
      <c r="A378" t="s">
        <v>2377</v>
      </c>
      <c r="B378">
        <v>0</v>
      </c>
    </row>
    <row r="379" spans="1:2" x14ac:dyDescent="0.2">
      <c r="A379" t="s">
        <v>2378</v>
      </c>
      <c r="B379">
        <v>0</v>
      </c>
    </row>
    <row r="380" spans="1:2" x14ac:dyDescent="0.2">
      <c r="A380" t="s">
        <v>2379</v>
      </c>
      <c r="B380">
        <v>0</v>
      </c>
    </row>
    <row r="381" spans="1:2" x14ac:dyDescent="0.2">
      <c r="A381" t="s">
        <v>2380</v>
      </c>
      <c r="B381">
        <v>0</v>
      </c>
    </row>
    <row r="382" spans="1:2" x14ac:dyDescent="0.2">
      <c r="A382" t="s">
        <v>2381</v>
      </c>
      <c r="B382">
        <v>0</v>
      </c>
    </row>
    <row r="383" spans="1:2" x14ac:dyDescent="0.2">
      <c r="A383" t="s">
        <v>2382</v>
      </c>
      <c r="B383">
        <v>0</v>
      </c>
    </row>
    <row r="384" spans="1:2" x14ac:dyDescent="0.2">
      <c r="A384" t="s">
        <v>2383</v>
      </c>
      <c r="B384">
        <v>0</v>
      </c>
    </row>
    <row r="385" spans="1:2" x14ac:dyDescent="0.2">
      <c r="A385" t="s">
        <v>2384</v>
      </c>
      <c r="B385">
        <v>0</v>
      </c>
    </row>
    <row r="386" spans="1:2" x14ac:dyDescent="0.2">
      <c r="A386" t="s">
        <v>2385</v>
      </c>
      <c r="B386">
        <v>0</v>
      </c>
    </row>
    <row r="387" spans="1:2" x14ac:dyDescent="0.2">
      <c r="A387" t="s">
        <v>2386</v>
      </c>
      <c r="B387">
        <v>0</v>
      </c>
    </row>
    <row r="388" spans="1:2" x14ac:dyDescent="0.2">
      <c r="A388" t="s">
        <v>2387</v>
      </c>
      <c r="B388">
        <v>0</v>
      </c>
    </row>
    <row r="389" spans="1:2" x14ac:dyDescent="0.2">
      <c r="A389" t="s">
        <v>2388</v>
      </c>
      <c r="B389">
        <v>0</v>
      </c>
    </row>
    <row r="390" spans="1:2" x14ac:dyDescent="0.2">
      <c r="A390" t="s">
        <v>2389</v>
      </c>
      <c r="B390">
        <v>0</v>
      </c>
    </row>
    <row r="391" spans="1:2" x14ac:dyDescent="0.2">
      <c r="A391" t="s">
        <v>2390</v>
      </c>
      <c r="B391">
        <v>0</v>
      </c>
    </row>
    <row r="392" spans="1:2" x14ac:dyDescent="0.2">
      <c r="A392" t="s">
        <v>2391</v>
      </c>
      <c r="B392">
        <v>0</v>
      </c>
    </row>
    <row r="393" spans="1:2" x14ac:dyDescent="0.2">
      <c r="A393" t="s">
        <v>2392</v>
      </c>
      <c r="B393">
        <v>0</v>
      </c>
    </row>
    <row r="394" spans="1:2" x14ac:dyDescent="0.2">
      <c r="A394" t="s">
        <v>2393</v>
      </c>
      <c r="B394">
        <v>0</v>
      </c>
    </row>
    <row r="395" spans="1:2" x14ac:dyDescent="0.2">
      <c r="A395" t="s">
        <v>2394</v>
      </c>
      <c r="B395">
        <v>0</v>
      </c>
    </row>
    <row r="396" spans="1:2" x14ac:dyDescent="0.2">
      <c r="A396" t="s">
        <v>2395</v>
      </c>
      <c r="B396">
        <v>0</v>
      </c>
    </row>
    <row r="397" spans="1:2" x14ac:dyDescent="0.2">
      <c r="A397" t="s">
        <v>2396</v>
      </c>
      <c r="B397">
        <v>0</v>
      </c>
    </row>
    <row r="398" spans="1:2" x14ac:dyDescent="0.2">
      <c r="A398" t="s">
        <v>2397</v>
      </c>
      <c r="B398">
        <v>0</v>
      </c>
    </row>
    <row r="399" spans="1:2" x14ac:dyDescent="0.2">
      <c r="A399" t="s">
        <v>2398</v>
      </c>
      <c r="B399">
        <v>0</v>
      </c>
    </row>
    <row r="400" spans="1:2" x14ac:dyDescent="0.2">
      <c r="A400" t="s">
        <v>2399</v>
      </c>
      <c r="B400">
        <v>0</v>
      </c>
    </row>
    <row r="401" spans="1:2" x14ac:dyDescent="0.2">
      <c r="A401" t="s">
        <v>2400</v>
      </c>
      <c r="B401">
        <v>0</v>
      </c>
    </row>
    <row r="402" spans="1:2" x14ac:dyDescent="0.2">
      <c r="A402" t="s">
        <v>2401</v>
      </c>
      <c r="B402">
        <v>0</v>
      </c>
    </row>
    <row r="403" spans="1:2" x14ac:dyDescent="0.2">
      <c r="A403" t="s">
        <v>2402</v>
      </c>
      <c r="B403">
        <v>0</v>
      </c>
    </row>
    <row r="404" spans="1:2" x14ac:dyDescent="0.2">
      <c r="A404" t="s">
        <v>2403</v>
      </c>
      <c r="B404">
        <v>0</v>
      </c>
    </row>
    <row r="405" spans="1:2" x14ac:dyDescent="0.2">
      <c r="A405" t="s">
        <v>2404</v>
      </c>
      <c r="B405">
        <v>0</v>
      </c>
    </row>
    <row r="406" spans="1:2" x14ac:dyDescent="0.2">
      <c r="A406" t="s">
        <v>2405</v>
      </c>
      <c r="B406">
        <v>0</v>
      </c>
    </row>
    <row r="407" spans="1:2" x14ac:dyDescent="0.2">
      <c r="A407" t="s">
        <v>2406</v>
      </c>
      <c r="B407">
        <v>0</v>
      </c>
    </row>
    <row r="408" spans="1:2" x14ac:dyDescent="0.2">
      <c r="A408" t="s">
        <v>2407</v>
      </c>
      <c r="B408">
        <v>0</v>
      </c>
    </row>
    <row r="409" spans="1:2" x14ac:dyDescent="0.2">
      <c r="A409" t="s">
        <v>2408</v>
      </c>
      <c r="B409">
        <v>0</v>
      </c>
    </row>
    <row r="410" spans="1:2" x14ac:dyDescent="0.2">
      <c r="A410" t="s">
        <v>2409</v>
      </c>
      <c r="B410">
        <v>0</v>
      </c>
    </row>
    <row r="411" spans="1:2" x14ac:dyDescent="0.2">
      <c r="A411" t="s">
        <v>2410</v>
      </c>
      <c r="B411">
        <v>0</v>
      </c>
    </row>
    <row r="412" spans="1:2" x14ac:dyDescent="0.2">
      <c r="A412" t="s">
        <v>2411</v>
      </c>
      <c r="B412">
        <v>0</v>
      </c>
    </row>
    <row r="413" spans="1:2" x14ac:dyDescent="0.2">
      <c r="A413" t="s">
        <v>2412</v>
      </c>
      <c r="B413">
        <v>0</v>
      </c>
    </row>
    <row r="414" spans="1:2" x14ac:dyDescent="0.2">
      <c r="A414" t="s">
        <v>2413</v>
      </c>
      <c r="B414">
        <v>0</v>
      </c>
    </row>
    <row r="415" spans="1:2" x14ac:dyDescent="0.2">
      <c r="A415" t="s">
        <v>2414</v>
      </c>
      <c r="B415">
        <v>0</v>
      </c>
    </row>
    <row r="416" spans="1:2" x14ac:dyDescent="0.2">
      <c r="A416" t="s">
        <v>2415</v>
      </c>
      <c r="B416">
        <v>0</v>
      </c>
    </row>
    <row r="417" spans="1:2" x14ac:dyDescent="0.2">
      <c r="A417" t="s">
        <v>2416</v>
      </c>
      <c r="B417">
        <v>0</v>
      </c>
    </row>
    <row r="418" spans="1:2" x14ac:dyDescent="0.2">
      <c r="A418" t="s">
        <v>2417</v>
      </c>
      <c r="B418">
        <v>0</v>
      </c>
    </row>
    <row r="419" spans="1:2" x14ac:dyDescent="0.2">
      <c r="A419" t="s">
        <v>2418</v>
      </c>
      <c r="B419">
        <v>0</v>
      </c>
    </row>
    <row r="420" spans="1:2" x14ac:dyDescent="0.2">
      <c r="A420" t="s">
        <v>2419</v>
      </c>
      <c r="B420">
        <v>0</v>
      </c>
    </row>
    <row r="421" spans="1:2" x14ac:dyDescent="0.2">
      <c r="A421" t="s">
        <v>2420</v>
      </c>
      <c r="B421">
        <v>0</v>
      </c>
    </row>
    <row r="422" spans="1:2" x14ac:dyDescent="0.2">
      <c r="A422" t="s">
        <v>2421</v>
      </c>
      <c r="B422">
        <v>0</v>
      </c>
    </row>
    <row r="423" spans="1:2" x14ac:dyDescent="0.2">
      <c r="A423" t="s">
        <v>2422</v>
      </c>
      <c r="B423">
        <v>0</v>
      </c>
    </row>
    <row r="424" spans="1:2" x14ac:dyDescent="0.2">
      <c r="A424" t="s">
        <v>2423</v>
      </c>
      <c r="B424">
        <v>0</v>
      </c>
    </row>
    <row r="425" spans="1:2" x14ac:dyDescent="0.2">
      <c r="A425" t="s">
        <v>2424</v>
      </c>
      <c r="B425">
        <v>0</v>
      </c>
    </row>
    <row r="426" spans="1:2" x14ac:dyDescent="0.2">
      <c r="A426" t="s">
        <v>2425</v>
      </c>
      <c r="B426">
        <v>0</v>
      </c>
    </row>
    <row r="427" spans="1:2" x14ac:dyDescent="0.2">
      <c r="A427" t="s">
        <v>2426</v>
      </c>
      <c r="B427" t="s">
        <v>4336</v>
      </c>
    </row>
    <row r="428" spans="1:2" x14ac:dyDescent="0.2">
      <c r="A428" t="s">
        <v>2427</v>
      </c>
      <c r="B428" t="s">
        <v>4336</v>
      </c>
    </row>
    <row r="429" spans="1:2" x14ac:dyDescent="0.2">
      <c r="A429" t="s">
        <v>2428</v>
      </c>
      <c r="B429" t="s">
        <v>4336</v>
      </c>
    </row>
    <row r="430" spans="1:2" x14ac:dyDescent="0.2">
      <c r="A430" t="s">
        <v>2429</v>
      </c>
      <c r="B430" t="s">
        <v>4336</v>
      </c>
    </row>
    <row r="431" spans="1:2" x14ac:dyDescent="0.2">
      <c r="A431" t="s">
        <v>2430</v>
      </c>
      <c r="B431" t="s">
        <v>4336</v>
      </c>
    </row>
    <row r="432" spans="1:2" x14ac:dyDescent="0.2">
      <c r="A432" t="s">
        <v>2431</v>
      </c>
      <c r="B432" t="s">
        <v>4336</v>
      </c>
    </row>
    <row r="433" spans="1:2" x14ac:dyDescent="0.2">
      <c r="A433" t="s">
        <v>2432</v>
      </c>
      <c r="B433" t="s">
        <v>4336</v>
      </c>
    </row>
    <row r="434" spans="1:2" x14ac:dyDescent="0.2">
      <c r="A434" t="s">
        <v>2433</v>
      </c>
      <c r="B434" t="s">
        <v>4336</v>
      </c>
    </row>
    <row r="435" spans="1:2" x14ac:dyDescent="0.2">
      <c r="A435" t="s">
        <v>2434</v>
      </c>
      <c r="B435" t="s">
        <v>4336</v>
      </c>
    </row>
    <row r="436" spans="1:2" x14ac:dyDescent="0.2">
      <c r="A436" t="s">
        <v>2435</v>
      </c>
      <c r="B436" t="s">
        <v>4336</v>
      </c>
    </row>
    <row r="437" spans="1:2" x14ac:dyDescent="0.2">
      <c r="A437" t="s">
        <v>2436</v>
      </c>
      <c r="B437" t="s">
        <v>4336</v>
      </c>
    </row>
    <row r="438" spans="1:2" x14ac:dyDescent="0.2">
      <c r="A438" t="s">
        <v>2437</v>
      </c>
      <c r="B438" t="s">
        <v>4336</v>
      </c>
    </row>
    <row r="439" spans="1:2" x14ac:dyDescent="0.2">
      <c r="A439" t="s">
        <v>2438</v>
      </c>
      <c r="B439" t="s">
        <v>4336</v>
      </c>
    </row>
    <row r="440" spans="1:2" x14ac:dyDescent="0.2">
      <c r="A440" t="s">
        <v>2439</v>
      </c>
      <c r="B440" t="s">
        <v>4336</v>
      </c>
    </row>
    <row r="441" spans="1:2" x14ac:dyDescent="0.2">
      <c r="A441" t="s">
        <v>2440</v>
      </c>
      <c r="B441" t="s">
        <v>4336</v>
      </c>
    </row>
    <row r="442" spans="1:2" x14ac:dyDescent="0.2">
      <c r="A442" t="s">
        <v>2441</v>
      </c>
      <c r="B442" t="s">
        <v>4336</v>
      </c>
    </row>
    <row r="443" spans="1:2" x14ac:dyDescent="0.2">
      <c r="A443" t="s">
        <v>2442</v>
      </c>
      <c r="B443" t="s">
        <v>4336</v>
      </c>
    </row>
    <row r="444" spans="1:2" x14ac:dyDescent="0.2">
      <c r="A444" t="s">
        <v>2443</v>
      </c>
      <c r="B444" t="s">
        <v>4336</v>
      </c>
    </row>
    <row r="445" spans="1:2" x14ac:dyDescent="0.2">
      <c r="A445" t="s">
        <v>2444</v>
      </c>
      <c r="B445" t="s">
        <v>4336</v>
      </c>
    </row>
    <row r="446" spans="1:2" x14ac:dyDescent="0.2">
      <c r="A446" t="s">
        <v>2445</v>
      </c>
      <c r="B446" t="s">
        <v>4336</v>
      </c>
    </row>
    <row r="447" spans="1:2" x14ac:dyDescent="0.2">
      <c r="A447" t="s">
        <v>2446</v>
      </c>
      <c r="B447" t="s">
        <v>4336</v>
      </c>
    </row>
    <row r="448" spans="1:2" x14ac:dyDescent="0.2">
      <c r="A448" t="s">
        <v>2447</v>
      </c>
      <c r="B448" t="s">
        <v>4336</v>
      </c>
    </row>
    <row r="449" spans="1:2" x14ac:dyDescent="0.2">
      <c r="A449" t="s">
        <v>2448</v>
      </c>
      <c r="B449" t="s">
        <v>4336</v>
      </c>
    </row>
    <row r="450" spans="1:2" x14ac:dyDescent="0.2">
      <c r="A450" t="s">
        <v>2449</v>
      </c>
      <c r="B450" t="s">
        <v>4336</v>
      </c>
    </row>
    <row r="451" spans="1:2" x14ac:dyDescent="0.2">
      <c r="A451" t="s">
        <v>2450</v>
      </c>
      <c r="B451" t="s">
        <v>4336</v>
      </c>
    </row>
    <row r="452" spans="1:2" x14ac:dyDescent="0.2">
      <c r="A452" t="s">
        <v>2451</v>
      </c>
      <c r="B452" t="s">
        <v>4336</v>
      </c>
    </row>
    <row r="453" spans="1:2" x14ac:dyDescent="0.2">
      <c r="A453" t="s">
        <v>2452</v>
      </c>
      <c r="B453" t="s">
        <v>4336</v>
      </c>
    </row>
    <row r="454" spans="1:2" x14ac:dyDescent="0.2">
      <c r="A454" t="s">
        <v>2453</v>
      </c>
      <c r="B454" t="s">
        <v>4336</v>
      </c>
    </row>
    <row r="455" spans="1:2" x14ac:dyDescent="0.2">
      <c r="A455" t="s">
        <v>2454</v>
      </c>
      <c r="B455" t="s">
        <v>4336</v>
      </c>
    </row>
    <row r="456" spans="1:2" x14ac:dyDescent="0.2">
      <c r="A456" t="s">
        <v>2455</v>
      </c>
      <c r="B456" t="s">
        <v>4336</v>
      </c>
    </row>
    <row r="457" spans="1:2" x14ac:dyDescent="0.2">
      <c r="A457" t="s">
        <v>2456</v>
      </c>
      <c r="B457">
        <v>1</v>
      </c>
    </row>
    <row r="458" spans="1:2" x14ac:dyDescent="0.2">
      <c r="A458" t="s">
        <v>2457</v>
      </c>
      <c r="B458">
        <v>1</v>
      </c>
    </row>
    <row r="459" spans="1:2" x14ac:dyDescent="0.2">
      <c r="A459" t="s">
        <v>2458</v>
      </c>
      <c r="B459">
        <v>1</v>
      </c>
    </row>
    <row r="460" spans="1:2" x14ac:dyDescent="0.2">
      <c r="A460" t="s">
        <v>2459</v>
      </c>
      <c r="B460">
        <v>1</v>
      </c>
    </row>
    <row r="461" spans="1:2" x14ac:dyDescent="0.2">
      <c r="A461" t="s">
        <v>2460</v>
      </c>
      <c r="B461">
        <v>1</v>
      </c>
    </row>
    <row r="462" spans="1:2" x14ac:dyDescent="0.2">
      <c r="A462" t="s">
        <v>2461</v>
      </c>
      <c r="B462">
        <v>1</v>
      </c>
    </row>
    <row r="463" spans="1:2" x14ac:dyDescent="0.2">
      <c r="A463" t="s">
        <v>2462</v>
      </c>
      <c r="B463">
        <v>1</v>
      </c>
    </row>
    <row r="464" spans="1:2" x14ac:dyDescent="0.2">
      <c r="A464" t="s">
        <v>2463</v>
      </c>
      <c r="B464">
        <v>1</v>
      </c>
    </row>
    <row r="465" spans="1:2" x14ac:dyDescent="0.2">
      <c r="A465" t="s">
        <v>2464</v>
      </c>
      <c r="B465">
        <v>1</v>
      </c>
    </row>
    <row r="466" spans="1:2" x14ac:dyDescent="0.2">
      <c r="A466" t="s">
        <v>2465</v>
      </c>
      <c r="B466">
        <v>1</v>
      </c>
    </row>
    <row r="467" spans="1:2" x14ac:dyDescent="0.2">
      <c r="A467" t="s">
        <v>2466</v>
      </c>
      <c r="B467">
        <v>1</v>
      </c>
    </row>
    <row r="468" spans="1:2" x14ac:dyDescent="0.2">
      <c r="A468" t="s">
        <v>2467</v>
      </c>
      <c r="B468">
        <v>1</v>
      </c>
    </row>
    <row r="469" spans="1:2" x14ac:dyDescent="0.2">
      <c r="A469" t="s">
        <v>2468</v>
      </c>
      <c r="B469">
        <v>1</v>
      </c>
    </row>
    <row r="470" spans="1:2" x14ac:dyDescent="0.2">
      <c r="A470" t="s">
        <v>2469</v>
      </c>
      <c r="B470">
        <v>1</v>
      </c>
    </row>
    <row r="471" spans="1:2" x14ac:dyDescent="0.2">
      <c r="A471" t="s">
        <v>2470</v>
      </c>
      <c r="B471">
        <v>1</v>
      </c>
    </row>
    <row r="472" spans="1:2" x14ac:dyDescent="0.2">
      <c r="A472" t="s">
        <v>2471</v>
      </c>
      <c r="B472">
        <v>1</v>
      </c>
    </row>
    <row r="473" spans="1:2" x14ac:dyDescent="0.2">
      <c r="A473" t="s">
        <v>2472</v>
      </c>
      <c r="B473">
        <v>1</v>
      </c>
    </row>
    <row r="474" spans="1:2" x14ac:dyDescent="0.2">
      <c r="A474" t="s">
        <v>2473</v>
      </c>
      <c r="B474">
        <v>1</v>
      </c>
    </row>
    <row r="475" spans="1:2" x14ac:dyDescent="0.2">
      <c r="A475" t="s">
        <v>2474</v>
      </c>
      <c r="B475">
        <v>1</v>
      </c>
    </row>
    <row r="476" spans="1:2" x14ac:dyDescent="0.2">
      <c r="A476" t="s">
        <v>2475</v>
      </c>
      <c r="B476">
        <v>1</v>
      </c>
    </row>
    <row r="477" spans="1:2" x14ac:dyDescent="0.2">
      <c r="A477" t="s">
        <v>2476</v>
      </c>
      <c r="B477">
        <v>1</v>
      </c>
    </row>
    <row r="478" spans="1:2" x14ac:dyDescent="0.2">
      <c r="A478" t="s">
        <v>2477</v>
      </c>
      <c r="B478">
        <v>1</v>
      </c>
    </row>
    <row r="479" spans="1:2" x14ac:dyDescent="0.2">
      <c r="A479" t="s">
        <v>2478</v>
      </c>
      <c r="B479">
        <v>1</v>
      </c>
    </row>
    <row r="480" spans="1:2" x14ac:dyDescent="0.2">
      <c r="A480" t="s">
        <v>2479</v>
      </c>
      <c r="B480">
        <v>1</v>
      </c>
    </row>
    <row r="481" spans="1:2" x14ac:dyDescent="0.2">
      <c r="A481" t="s">
        <v>2480</v>
      </c>
      <c r="B481">
        <v>1</v>
      </c>
    </row>
    <row r="482" spans="1:2" x14ac:dyDescent="0.2">
      <c r="A482" t="s">
        <v>2481</v>
      </c>
      <c r="B482">
        <v>1</v>
      </c>
    </row>
    <row r="483" spans="1:2" x14ac:dyDescent="0.2">
      <c r="A483" t="s">
        <v>2482</v>
      </c>
      <c r="B483">
        <v>1</v>
      </c>
    </row>
    <row r="484" spans="1:2" x14ac:dyDescent="0.2">
      <c r="A484" t="s">
        <v>2483</v>
      </c>
      <c r="B484">
        <v>1</v>
      </c>
    </row>
    <row r="485" spans="1:2" x14ac:dyDescent="0.2">
      <c r="A485" t="s">
        <v>2484</v>
      </c>
      <c r="B485">
        <v>1</v>
      </c>
    </row>
    <row r="486" spans="1:2" x14ac:dyDescent="0.2">
      <c r="A486" t="s">
        <v>2485</v>
      </c>
      <c r="B486">
        <v>1</v>
      </c>
    </row>
    <row r="487" spans="1:2" x14ac:dyDescent="0.2">
      <c r="A487" t="s">
        <v>2486</v>
      </c>
      <c r="B487" t="s">
        <v>4336</v>
      </c>
    </row>
    <row r="488" spans="1:2" x14ac:dyDescent="0.2">
      <c r="A488" t="s">
        <v>2487</v>
      </c>
      <c r="B488" t="s">
        <v>4336</v>
      </c>
    </row>
    <row r="489" spans="1:2" x14ac:dyDescent="0.2">
      <c r="A489" t="s">
        <v>2488</v>
      </c>
      <c r="B489" t="s">
        <v>4336</v>
      </c>
    </row>
    <row r="490" spans="1:2" x14ac:dyDescent="0.2">
      <c r="A490" t="s">
        <v>2489</v>
      </c>
      <c r="B490" t="s">
        <v>4336</v>
      </c>
    </row>
    <row r="491" spans="1:2" x14ac:dyDescent="0.2">
      <c r="A491" t="s">
        <v>2490</v>
      </c>
      <c r="B491" t="s">
        <v>4336</v>
      </c>
    </row>
    <row r="492" spans="1:2" x14ac:dyDescent="0.2">
      <c r="A492" t="s">
        <v>2491</v>
      </c>
      <c r="B492" t="s">
        <v>4336</v>
      </c>
    </row>
    <row r="493" spans="1:2" x14ac:dyDescent="0.2">
      <c r="A493" t="s">
        <v>2492</v>
      </c>
      <c r="B493" t="s">
        <v>4336</v>
      </c>
    </row>
    <row r="494" spans="1:2" x14ac:dyDescent="0.2">
      <c r="A494" t="s">
        <v>2493</v>
      </c>
      <c r="B494" t="s">
        <v>4336</v>
      </c>
    </row>
    <row r="495" spans="1:2" x14ac:dyDescent="0.2">
      <c r="A495" t="s">
        <v>2494</v>
      </c>
      <c r="B495" t="s">
        <v>4336</v>
      </c>
    </row>
    <row r="496" spans="1:2" x14ac:dyDescent="0.2">
      <c r="A496" t="s">
        <v>2495</v>
      </c>
      <c r="B496" t="s">
        <v>4336</v>
      </c>
    </row>
    <row r="497" spans="1:2" x14ac:dyDescent="0.2">
      <c r="A497" t="s">
        <v>2496</v>
      </c>
      <c r="B497" t="s">
        <v>4336</v>
      </c>
    </row>
    <row r="498" spans="1:2" x14ac:dyDescent="0.2">
      <c r="A498" t="s">
        <v>2497</v>
      </c>
      <c r="B498" t="s">
        <v>4336</v>
      </c>
    </row>
    <row r="499" spans="1:2" x14ac:dyDescent="0.2">
      <c r="A499" t="s">
        <v>2498</v>
      </c>
      <c r="B499" t="s">
        <v>4336</v>
      </c>
    </row>
    <row r="500" spans="1:2" x14ac:dyDescent="0.2">
      <c r="A500" t="s">
        <v>2499</v>
      </c>
      <c r="B500" t="s">
        <v>4336</v>
      </c>
    </row>
    <row r="501" spans="1:2" x14ac:dyDescent="0.2">
      <c r="A501" t="s">
        <v>2500</v>
      </c>
      <c r="B501" t="s">
        <v>4336</v>
      </c>
    </row>
    <row r="502" spans="1:2" x14ac:dyDescent="0.2">
      <c r="A502" t="s">
        <v>2501</v>
      </c>
      <c r="B502" t="s">
        <v>4336</v>
      </c>
    </row>
    <row r="503" spans="1:2" x14ac:dyDescent="0.2">
      <c r="A503" t="s">
        <v>2502</v>
      </c>
      <c r="B503" t="s">
        <v>4336</v>
      </c>
    </row>
    <row r="504" spans="1:2" x14ac:dyDescent="0.2">
      <c r="A504" t="s">
        <v>2503</v>
      </c>
      <c r="B504" t="s">
        <v>4336</v>
      </c>
    </row>
    <row r="505" spans="1:2" x14ac:dyDescent="0.2">
      <c r="A505" t="s">
        <v>2504</v>
      </c>
      <c r="B505" t="s">
        <v>4336</v>
      </c>
    </row>
    <row r="506" spans="1:2" x14ac:dyDescent="0.2">
      <c r="A506" t="s">
        <v>2505</v>
      </c>
      <c r="B506" t="s">
        <v>4336</v>
      </c>
    </row>
    <row r="507" spans="1:2" x14ac:dyDescent="0.2">
      <c r="A507" t="s">
        <v>2506</v>
      </c>
      <c r="B507" t="s">
        <v>4336</v>
      </c>
    </row>
    <row r="508" spans="1:2" x14ac:dyDescent="0.2">
      <c r="A508" t="s">
        <v>2507</v>
      </c>
      <c r="B508" t="s">
        <v>4336</v>
      </c>
    </row>
    <row r="509" spans="1:2" x14ac:dyDescent="0.2">
      <c r="A509" t="s">
        <v>2508</v>
      </c>
      <c r="B509" t="s">
        <v>4336</v>
      </c>
    </row>
    <row r="510" spans="1:2" x14ac:dyDescent="0.2">
      <c r="A510" t="s">
        <v>2509</v>
      </c>
      <c r="B510" t="s">
        <v>4336</v>
      </c>
    </row>
    <row r="511" spans="1:2" x14ac:dyDescent="0.2">
      <c r="A511" t="s">
        <v>2510</v>
      </c>
      <c r="B511" t="s">
        <v>4336</v>
      </c>
    </row>
    <row r="512" spans="1:2" x14ac:dyDescent="0.2">
      <c r="A512" t="s">
        <v>2511</v>
      </c>
      <c r="B512" t="s">
        <v>4336</v>
      </c>
    </row>
    <row r="513" spans="1:2" x14ac:dyDescent="0.2">
      <c r="A513" t="s">
        <v>2512</v>
      </c>
      <c r="B513" t="s">
        <v>4336</v>
      </c>
    </row>
    <row r="514" spans="1:2" x14ac:dyDescent="0.2">
      <c r="A514" t="s">
        <v>2513</v>
      </c>
      <c r="B514" t="s">
        <v>4336</v>
      </c>
    </row>
    <row r="515" spans="1:2" x14ac:dyDescent="0.2">
      <c r="A515" t="s">
        <v>2514</v>
      </c>
      <c r="B515" t="s">
        <v>4336</v>
      </c>
    </row>
    <row r="516" spans="1:2" x14ac:dyDescent="0.2">
      <c r="A516" t="s">
        <v>2515</v>
      </c>
      <c r="B516" t="s">
        <v>4336</v>
      </c>
    </row>
    <row r="517" spans="1:2" x14ac:dyDescent="0.2">
      <c r="A517" t="s">
        <v>4281</v>
      </c>
      <c r="B517" t="s">
        <v>4336</v>
      </c>
    </row>
    <row r="518" spans="1:2" x14ac:dyDescent="0.2">
      <c r="A518" t="s">
        <v>4282</v>
      </c>
      <c r="B518" t="s">
        <v>4336</v>
      </c>
    </row>
    <row r="519" spans="1:2" x14ac:dyDescent="0.2">
      <c r="A519" t="s">
        <v>4283</v>
      </c>
      <c r="B519" t="s">
        <v>4336</v>
      </c>
    </row>
    <row r="520" spans="1:2" x14ac:dyDescent="0.2">
      <c r="A520" t="s">
        <v>4284</v>
      </c>
      <c r="B520" t="s">
        <v>4336</v>
      </c>
    </row>
    <row r="521" spans="1:2" x14ac:dyDescent="0.2">
      <c r="A521" t="s">
        <v>4285</v>
      </c>
      <c r="B521" t="s">
        <v>4336</v>
      </c>
    </row>
    <row r="522" spans="1:2" x14ac:dyDescent="0.2">
      <c r="A522" t="s">
        <v>4286</v>
      </c>
      <c r="B522" t="s">
        <v>4336</v>
      </c>
    </row>
    <row r="523" spans="1:2" x14ac:dyDescent="0.2">
      <c r="A523" t="s">
        <v>4287</v>
      </c>
      <c r="B523" t="s">
        <v>4336</v>
      </c>
    </row>
    <row r="524" spans="1:2" x14ac:dyDescent="0.2">
      <c r="A524" t="s">
        <v>4288</v>
      </c>
      <c r="B524" t="s">
        <v>4336</v>
      </c>
    </row>
    <row r="525" spans="1:2" x14ac:dyDescent="0.2">
      <c r="A525" t="s">
        <v>4289</v>
      </c>
      <c r="B525" t="s">
        <v>4336</v>
      </c>
    </row>
    <row r="526" spans="1:2" x14ac:dyDescent="0.2">
      <c r="A526" t="s">
        <v>4290</v>
      </c>
      <c r="B526" t="s">
        <v>4336</v>
      </c>
    </row>
    <row r="527" spans="1:2" x14ac:dyDescent="0.2">
      <c r="A527" t="s">
        <v>4291</v>
      </c>
      <c r="B527" t="s">
        <v>4336</v>
      </c>
    </row>
    <row r="528" spans="1:2" x14ac:dyDescent="0.2">
      <c r="A528" t="s">
        <v>4292</v>
      </c>
      <c r="B528" t="s">
        <v>4336</v>
      </c>
    </row>
    <row r="529" spans="1:2" x14ac:dyDescent="0.2">
      <c r="A529" t="s">
        <v>4293</v>
      </c>
      <c r="B529" t="s">
        <v>4336</v>
      </c>
    </row>
    <row r="530" spans="1:2" x14ac:dyDescent="0.2">
      <c r="A530" t="s">
        <v>4294</v>
      </c>
      <c r="B530" t="s">
        <v>4336</v>
      </c>
    </row>
    <row r="531" spans="1:2" x14ac:dyDescent="0.2">
      <c r="A531" t="s">
        <v>4295</v>
      </c>
      <c r="B531" t="s">
        <v>4336</v>
      </c>
    </row>
    <row r="532" spans="1:2" x14ac:dyDescent="0.2">
      <c r="A532" t="s">
        <v>4296</v>
      </c>
      <c r="B532" t="s">
        <v>4336</v>
      </c>
    </row>
    <row r="533" spans="1:2" x14ac:dyDescent="0.2">
      <c r="A533" t="s">
        <v>4297</v>
      </c>
      <c r="B533" t="s">
        <v>4336</v>
      </c>
    </row>
    <row r="534" spans="1:2" x14ac:dyDescent="0.2">
      <c r="A534" t="s">
        <v>4298</v>
      </c>
      <c r="B534" t="s">
        <v>4336</v>
      </c>
    </row>
    <row r="535" spans="1:2" x14ac:dyDescent="0.2">
      <c r="A535" t="s">
        <v>4299</v>
      </c>
      <c r="B535" t="s">
        <v>4336</v>
      </c>
    </row>
    <row r="536" spans="1:2" x14ac:dyDescent="0.2">
      <c r="A536" t="s">
        <v>4300</v>
      </c>
      <c r="B536" t="s">
        <v>4336</v>
      </c>
    </row>
    <row r="537" spans="1:2" x14ac:dyDescent="0.2">
      <c r="A537" t="s">
        <v>4301</v>
      </c>
      <c r="B537" t="s">
        <v>4336</v>
      </c>
    </row>
    <row r="538" spans="1:2" x14ac:dyDescent="0.2">
      <c r="A538" t="s">
        <v>4302</v>
      </c>
      <c r="B538" t="s">
        <v>4336</v>
      </c>
    </row>
    <row r="539" spans="1:2" x14ac:dyDescent="0.2">
      <c r="A539" t="s">
        <v>4303</v>
      </c>
      <c r="B539" t="s">
        <v>4336</v>
      </c>
    </row>
    <row r="540" spans="1:2" x14ac:dyDescent="0.2">
      <c r="A540" t="s">
        <v>4304</v>
      </c>
      <c r="B540" t="s">
        <v>4336</v>
      </c>
    </row>
    <row r="541" spans="1:2" x14ac:dyDescent="0.2">
      <c r="A541" t="s">
        <v>4305</v>
      </c>
      <c r="B541" t="s">
        <v>4336</v>
      </c>
    </row>
    <row r="542" spans="1:2" x14ac:dyDescent="0.2">
      <c r="A542" t="s">
        <v>4306</v>
      </c>
      <c r="B542" t="s">
        <v>4336</v>
      </c>
    </row>
    <row r="543" spans="1:2" x14ac:dyDescent="0.2">
      <c r="A543" t="s">
        <v>4307</v>
      </c>
      <c r="B543" t="s">
        <v>4336</v>
      </c>
    </row>
    <row r="544" spans="1:2" x14ac:dyDescent="0.2">
      <c r="A544" t="s">
        <v>4308</v>
      </c>
      <c r="B544" t="s">
        <v>4336</v>
      </c>
    </row>
    <row r="545" spans="1:2" x14ac:dyDescent="0.2">
      <c r="A545" t="s">
        <v>4309</v>
      </c>
      <c r="B545" t="s">
        <v>4336</v>
      </c>
    </row>
    <row r="546" spans="1:2" x14ac:dyDescent="0.2">
      <c r="A546" t="s">
        <v>4310</v>
      </c>
      <c r="B546" t="s">
        <v>4336</v>
      </c>
    </row>
    <row r="547" spans="1:2" x14ac:dyDescent="0.2">
      <c r="A547" t="s">
        <v>2545</v>
      </c>
      <c r="B547">
        <v>0</v>
      </c>
    </row>
    <row r="548" spans="1:2" x14ac:dyDescent="0.2">
      <c r="A548" t="s">
        <v>2547</v>
      </c>
      <c r="B548" t="s">
        <v>4336</v>
      </c>
    </row>
    <row r="549" spans="1:2" x14ac:dyDescent="0.2">
      <c r="A549" t="s">
        <v>2549</v>
      </c>
      <c r="B549">
        <v>5000</v>
      </c>
    </row>
    <row r="550" spans="1:2" x14ac:dyDescent="0.2">
      <c r="A550" t="s">
        <v>2550</v>
      </c>
      <c r="B550">
        <v>1</v>
      </c>
    </row>
    <row r="551" spans="1:2" x14ac:dyDescent="0.2">
      <c r="A551" t="s">
        <v>2552</v>
      </c>
      <c r="B551">
        <v>0</v>
      </c>
    </row>
    <row r="552" spans="1:2" x14ac:dyDescent="0.2">
      <c r="A552" t="s">
        <v>2555</v>
      </c>
      <c r="B552">
        <v>0</v>
      </c>
    </row>
    <row r="553" spans="1:2" x14ac:dyDescent="0.2">
      <c r="A553" t="s">
        <v>2556</v>
      </c>
      <c r="B553">
        <v>0</v>
      </c>
    </row>
    <row r="554" spans="1:2" x14ac:dyDescent="0.2">
      <c r="A554" t="s">
        <v>2558</v>
      </c>
      <c r="B554">
        <v>0</v>
      </c>
    </row>
    <row r="555" spans="1:2" x14ac:dyDescent="0.2">
      <c r="A555" t="s">
        <v>2561</v>
      </c>
      <c r="B555">
        <v>0</v>
      </c>
    </row>
    <row r="556" spans="1:2" x14ac:dyDescent="0.2">
      <c r="A556" t="s">
        <v>2562</v>
      </c>
      <c r="B556">
        <v>0</v>
      </c>
    </row>
    <row r="557" spans="1:2" x14ac:dyDescent="0.2">
      <c r="A557" t="s">
        <v>2564</v>
      </c>
      <c r="B557">
        <v>5000</v>
      </c>
    </row>
    <row r="558" spans="1:2" x14ac:dyDescent="0.2">
      <c r="A558" t="s">
        <v>2566</v>
      </c>
      <c r="B558">
        <v>5000</v>
      </c>
    </row>
    <row r="559" spans="1:2" x14ac:dyDescent="0.2">
      <c r="A559" t="s">
        <v>2679</v>
      </c>
      <c r="B559">
        <v>0</v>
      </c>
    </row>
    <row r="560" spans="1:2" x14ac:dyDescent="0.2">
      <c r="A560" t="s">
        <v>2568</v>
      </c>
      <c r="B560">
        <v>5000</v>
      </c>
    </row>
    <row r="561" spans="1:2" x14ac:dyDescent="0.2">
      <c r="A561" t="s">
        <v>2578</v>
      </c>
      <c r="B561">
        <v>1</v>
      </c>
    </row>
    <row r="562" spans="1:2" x14ac:dyDescent="0.2">
      <c r="A562" t="s">
        <v>2579</v>
      </c>
      <c r="B562">
        <v>1</v>
      </c>
    </row>
    <row r="563" spans="1:2" x14ac:dyDescent="0.2">
      <c r="A563" t="s">
        <v>2580</v>
      </c>
      <c r="B563">
        <v>1</v>
      </c>
    </row>
    <row r="564" spans="1:2" x14ac:dyDescent="0.2">
      <c r="A564" t="s">
        <v>2581</v>
      </c>
      <c r="B564">
        <v>1</v>
      </c>
    </row>
    <row r="565" spans="1:2" x14ac:dyDescent="0.2">
      <c r="A565" t="s">
        <v>2582</v>
      </c>
      <c r="B565">
        <v>1</v>
      </c>
    </row>
    <row r="566" spans="1:2" x14ac:dyDescent="0.2">
      <c r="A566" t="s">
        <v>2583</v>
      </c>
      <c r="B566">
        <v>1</v>
      </c>
    </row>
    <row r="567" spans="1:2" x14ac:dyDescent="0.2">
      <c r="A567" t="s">
        <v>2584</v>
      </c>
      <c r="B567">
        <v>1</v>
      </c>
    </row>
    <row r="568" spans="1:2" x14ac:dyDescent="0.2">
      <c r="A568" t="s">
        <v>2585</v>
      </c>
      <c r="B568">
        <v>1</v>
      </c>
    </row>
    <row r="569" spans="1:2" x14ac:dyDescent="0.2">
      <c r="A569" t="s">
        <v>2586</v>
      </c>
      <c r="B569">
        <v>1</v>
      </c>
    </row>
    <row r="570" spans="1:2" x14ac:dyDescent="0.2">
      <c r="A570" t="s">
        <v>2596</v>
      </c>
      <c r="B570">
        <v>0</v>
      </c>
    </row>
    <row r="571" spans="1:2" x14ac:dyDescent="0.2">
      <c r="A571" t="s">
        <v>2597</v>
      </c>
      <c r="B571">
        <v>0</v>
      </c>
    </row>
    <row r="572" spans="1:2" x14ac:dyDescent="0.2">
      <c r="A572" t="s">
        <v>2598</v>
      </c>
      <c r="B572">
        <v>0</v>
      </c>
    </row>
    <row r="573" spans="1:2" x14ac:dyDescent="0.2">
      <c r="A573" t="s">
        <v>2599</v>
      </c>
      <c r="B573">
        <v>0</v>
      </c>
    </row>
    <row r="574" spans="1:2" x14ac:dyDescent="0.2">
      <c r="A574" t="s">
        <v>2600</v>
      </c>
      <c r="B574">
        <v>0</v>
      </c>
    </row>
    <row r="575" spans="1:2" x14ac:dyDescent="0.2">
      <c r="A575" t="s">
        <v>2601</v>
      </c>
      <c r="B575">
        <v>0</v>
      </c>
    </row>
    <row r="576" spans="1:2" x14ac:dyDescent="0.2">
      <c r="A576" t="s">
        <v>2602</v>
      </c>
      <c r="B576">
        <v>0</v>
      </c>
    </row>
    <row r="577" spans="1:2" x14ac:dyDescent="0.2">
      <c r="A577" t="s">
        <v>2603</v>
      </c>
      <c r="B577">
        <v>0</v>
      </c>
    </row>
    <row r="578" spans="1:2" x14ac:dyDescent="0.2">
      <c r="A578" t="s">
        <v>2604</v>
      </c>
      <c r="B578">
        <v>0</v>
      </c>
    </row>
    <row r="579" spans="1:2" x14ac:dyDescent="0.2">
      <c r="A579" t="s">
        <v>2607</v>
      </c>
      <c r="B579" t="s">
        <v>4336</v>
      </c>
    </row>
    <row r="580" spans="1:2" x14ac:dyDescent="0.2">
      <c r="A580" t="s">
        <v>2608</v>
      </c>
      <c r="B580" t="s">
        <v>4336</v>
      </c>
    </row>
    <row r="581" spans="1:2" x14ac:dyDescent="0.2">
      <c r="A581" t="s">
        <v>2610</v>
      </c>
      <c r="B581">
        <v>5000</v>
      </c>
    </row>
    <row r="582" spans="1:2" x14ac:dyDescent="0.2">
      <c r="A582" t="s">
        <v>2611</v>
      </c>
      <c r="B582">
        <v>5000</v>
      </c>
    </row>
    <row r="583" spans="1:2" x14ac:dyDescent="0.2">
      <c r="A583" t="s">
        <v>2613</v>
      </c>
      <c r="B583">
        <v>5000</v>
      </c>
    </row>
    <row r="584" spans="1:2" x14ac:dyDescent="0.2">
      <c r="A584" t="s">
        <v>2623</v>
      </c>
      <c r="B584">
        <v>0</v>
      </c>
    </row>
    <row r="585" spans="1:2" x14ac:dyDescent="0.2">
      <c r="A585" t="s">
        <v>2624</v>
      </c>
      <c r="B585">
        <v>0</v>
      </c>
    </row>
    <row r="586" spans="1:2" x14ac:dyDescent="0.2">
      <c r="A586" t="s">
        <v>2625</v>
      </c>
      <c r="B586">
        <v>0</v>
      </c>
    </row>
    <row r="587" spans="1:2" x14ac:dyDescent="0.2">
      <c r="A587" t="s">
        <v>2626</v>
      </c>
      <c r="B587">
        <v>0</v>
      </c>
    </row>
    <row r="588" spans="1:2" x14ac:dyDescent="0.2">
      <c r="A588" t="s">
        <v>2627</v>
      </c>
      <c r="B588">
        <v>0</v>
      </c>
    </row>
    <row r="589" spans="1:2" x14ac:dyDescent="0.2">
      <c r="A589" t="s">
        <v>2628</v>
      </c>
      <c r="B589">
        <v>0</v>
      </c>
    </row>
    <row r="590" spans="1:2" x14ac:dyDescent="0.2">
      <c r="A590" t="s">
        <v>2629</v>
      </c>
      <c r="B590">
        <v>0</v>
      </c>
    </row>
    <row r="591" spans="1:2" x14ac:dyDescent="0.2">
      <c r="A591" t="s">
        <v>2630</v>
      </c>
      <c r="B591">
        <v>0</v>
      </c>
    </row>
    <row r="592" spans="1:2" x14ac:dyDescent="0.2">
      <c r="A592" t="s">
        <v>2631</v>
      </c>
      <c r="B592">
        <v>0</v>
      </c>
    </row>
    <row r="593" spans="1:2" x14ac:dyDescent="0.2">
      <c r="A593" t="s">
        <v>2647</v>
      </c>
      <c r="B593">
        <v>1</v>
      </c>
    </row>
    <row r="594" spans="1:2" x14ac:dyDescent="0.2">
      <c r="A594" t="s">
        <v>2648</v>
      </c>
      <c r="B594">
        <v>1</v>
      </c>
    </row>
    <row r="595" spans="1:2" x14ac:dyDescent="0.2">
      <c r="A595" t="s">
        <v>2649</v>
      </c>
      <c r="B595">
        <v>1</v>
      </c>
    </row>
    <row r="596" spans="1:2" x14ac:dyDescent="0.2">
      <c r="A596" t="s">
        <v>2650</v>
      </c>
      <c r="B596">
        <v>1</v>
      </c>
    </row>
    <row r="597" spans="1:2" x14ac:dyDescent="0.2">
      <c r="A597" t="s">
        <v>2651</v>
      </c>
      <c r="B597">
        <v>1</v>
      </c>
    </row>
    <row r="598" spans="1:2" x14ac:dyDescent="0.2">
      <c r="A598" t="s">
        <v>2652</v>
      </c>
      <c r="B598">
        <v>1</v>
      </c>
    </row>
    <row r="599" spans="1:2" x14ac:dyDescent="0.2">
      <c r="A599" t="s">
        <v>2653</v>
      </c>
      <c r="B599">
        <v>1</v>
      </c>
    </row>
    <row r="600" spans="1:2" x14ac:dyDescent="0.2">
      <c r="A600" t="s">
        <v>2654</v>
      </c>
      <c r="B600">
        <v>1</v>
      </c>
    </row>
    <row r="601" spans="1:2" x14ac:dyDescent="0.2">
      <c r="A601" t="s">
        <v>2655</v>
      </c>
      <c r="B601">
        <v>1</v>
      </c>
    </row>
    <row r="602" spans="1:2" x14ac:dyDescent="0.2">
      <c r="A602" t="s">
        <v>2644</v>
      </c>
      <c r="B602">
        <v>1</v>
      </c>
    </row>
    <row r="603" spans="1:2" x14ac:dyDescent="0.2">
      <c r="A603" t="s">
        <v>2645</v>
      </c>
      <c r="B603">
        <v>1</v>
      </c>
    </row>
    <row r="604" spans="1:2" x14ac:dyDescent="0.2">
      <c r="A604" t="s">
        <v>2646</v>
      </c>
      <c r="B604">
        <v>1</v>
      </c>
    </row>
    <row r="605" spans="1:2" x14ac:dyDescent="0.2">
      <c r="A605" t="s">
        <v>2657</v>
      </c>
      <c r="B605" t="b">
        <v>0</v>
      </c>
    </row>
    <row r="606" spans="1:2" x14ac:dyDescent="0.2">
      <c r="A606" t="s">
        <v>2667</v>
      </c>
      <c r="B606">
        <v>1</v>
      </c>
    </row>
    <row r="607" spans="1:2" x14ac:dyDescent="0.2">
      <c r="A607" t="s">
        <v>2668</v>
      </c>
      <c r="B607">
        <v>1</v>
      </c>
    </row>
    <row r="608" spans="1:2" x14ac:dyDescent="0.2">
      <c r="A608" t="s">
        <v>2669</v>
      </c>
      <c r="B608">
        <v>1</v>
      </c>
    </row>
    <row r="609" spans="1:2" x14ac:dyDescent="0.2">
      <c r="A609" t="s">
        <v>2670</v>
      </c>
      <c r="B609">
        <v>1</v>
      </c>
    </row>
    <row r="610" spans="1:2" x14ac:dyDescent="0.2">
      <c r="A610" t="s">
        <v>2671</v>
      </c>
      <c r="B610">
        <v>1</v>
      </c>
    </row>
    <row r="611" spans="1:2" x14ac:dyDescent="0.2">
      <c r="A611" t="s">
        <v>2672</v>
      </c>
      <c r="B611">
        <v>1</v>
      </c>
    </row>
    <row r="612" spans="1:2" x14ac:dyDescent="0.2">
      <c r="A612" t="s">
        <v>2673</v>
      </c>
      <c r="B612">
        <v>1</v>
      </c>
    </row>
    <row r="613" spans="1:2" x14ac:dyDescent="0.2">
      <c r="A613" t="s">
        <v>2674</v>
      </c>
      <c r="B613">
        <v>1</v>
      </c>
    </row>
    <row r="614" spans="1:2" x14ac:dyDescent="0.2">
      <c r="A614" t="s">
        <v>2675</v>
      </c>
      <c r="B614">
        <v>1</v>
      </c>
    </row>
    <row r="615" spans="1:2" x14ac:dyDescent="0.2">
      <c r="A615" t="s">
        <v>2677</v>
      </c>
      <c r="B615">
        <v>5000</v>
      </c>
    </row>
    <row r="616" spans="1:2" x14ac:dyDescent="0.2">
      <c r="A616" t="s">
        <v>2681</v>
      </c>
      <c r="B616">
        <v>5000</v>
      </c>
    </row>
    <row r="617" spans="1:2" x14ac:dyDescent="0.2">
      <c r="A617" t="s">
        <v>2683</v>
      </c>
      <c r="B617">
        <v>5000</v>
      </c>
    </row>
    <row r="618" spans="1:2" x14ac:dyDescent="0.2">
      <c r="A618" t="s">
        <v>2699</v>
      </c>
      <c r="B618">
        <v>0</v>
      </c>
    </row>
    <row r="619" spans="1:2" x14ac:dyDescent="0.2">
      <c r="A619" t="s">
        <v>2700</v>
      </c>
      <c r="B619">
        <v>0</v>
      </c>
    </row>
    <row r="620" spans="1:2" x14ac:dyDescent="0.2">
      <c r="A620" t="s">
        <v>2701</v>
      </c>
      <c r="B620">
        <v>0</v>
      </c>
    </row>
    <row r="621" spans="1:2" x14ac:dyDescent="0.2">
      <c r="A621" t="s">
        <v>2702</v>
      </c>
      <c r="B621">
        <v>0</v>
      </c>
    </row>
    <row r="622" spans="1:2" x14ac:dyDescent="0.2">
      <c r="A622" t="s">
        <v>2703</v>
      </c>
      <c r="B622">
        <v>0</v>
      </c>
    </row>
    <row r="623" spans="1:2" x14ac:dyDescent="0.2">
      <c r="A623" t="s">
        <v>2704</v>
      </c>
      <c r="B623">
        <v>0</v>
      </c>
    </row>
    <row r="624" spans="1:2" x14ac:dyDescent="0.2">
      <c r="A624" t="s">
        <v>2705</v>
      </c>
      <c r="B624">
        <v>0</v>
      </c>
    </row>
    <row r="625" spans="1:2" x14ac:dyDescent="0.2">
      <c r="A625" t="s">
        <v>2706</v>
      </c>
      <c r="B625">
        <v>0</v>
      </c>
    </row>
    <row r="626" spans="1:2" x14ac:dyDescent="0.2">
      <c r="A626" t="s">
        <v>2707</v>
      </c>
      <c r="B626">
        <v>0</v>
      </c>
    </row>
    <row r="627" spans="1:2" x14ac:dyDescent="0.2">
      <c r="A627" t="s">
        <v>2696</v>
      </c>
      <c r="B627">
        <v>0</v>
      </c>
    </row>
    <row r="628" spans="1:2" x14ac:dyDescent="0.2">
      <c r="A628" t="s">
        <v>2697</v>
      </c>
      <c r="B628">
        <v>0</v>
      </c>
    </row>
    <row r="629" spans="1:2" x14ac:dyDescent="0.2">
      <c r="A629" t="s">
        <v>2698</v>
      </c>
      <c r="B629">
        <v>0</v>
      </c>
    </row>
    <row r="630" spans="1:2" x14ac:dyDescent="0.2">
      <c r="A630" t="s">
        <v>2718</v>
      </c>
      <c r="B630" t="s">
        <v>4336</v>
      </c>
    </row>
    <row r="631" spans="1:2" x14ac:dyDescent="0.2">
      <c r="A631" t="s">
        <v>2728</v>
      </c>
      <c r="B631">
        <v>1</v>
      </c>
    </row>
    <row r="632" spans="1:2" x14ac:dyDescent="0.2">
      <c r="A632" t="s">
        <v>2729</v>
      </c>
      <c r="B632">
        <v>1</v>
      </c>
    </row>
    <row r="633" spans="1:2" x14ac:dyDescent="0.2">
      <c r="A633" t="s">
        <v>2730</v>
      </c>
      <c r="B633">
        <v>1</v>
      </c>
    </row>
    <row r="634" spans="1:2" x14ac:dyDescent="0.2">
      <c r="A634" t="s">
        <v>2731</v>
      </c>
      <c r="B634">
        <v>1</v>
      </c>
    </row>
    <row r="635" spans="1:2" x14ac:dyDescent="0.2">
      <c r="A635" t="s">
        <v>2732</v>
      </c>
      <c r="B635">
        <v>1</v>
      </c>
    </row>
    <row r="636" spans="1:2" x14ac:dyDescent="0.2">
      <c r="A636" t="s">
        <v>2733</v>
      </c>
      <c r="B636">
        <v>1</v>
      </c>
    </row>
    <row r="637" spans="1:2" x14ac:dyDescent="0.2">
      <c r="A637" t="s">
        <v>2734</v>
      </c>
      <c r="B637">
        <v>1</v>
      </c>
    </row>
    <row r="638" spans="1:2" x14ac:dyDescent="0.2">
      <c r="A638" t="s">
        <v>2735</v>
      </c>
      <c r="B638">
        <v>1</v>
      </c>
    </row>
    <row r="639" spans="1:2" x14ac:dyDescent="0.2">
      <c r="A639" t="s">
        <v>2736</v>
      </c>
      <c r="B639">
        <v>1</v>
      </c>
    </row>
    <row r="640" spans="1:2" x14ac:dyDescent="0.2">
      <c r="A640" t="s">
        <v>2530</v>
      </c>
      <c r="B640">
        <v>1</v>
      </c>
    </row>
    <row r="641" spans="1:2" x14ac:dyDescent="0.2">
      <c r="A641" t="s">
        <v>2531</v>
      </c>
      <c r="B641">
        <v>0</v>
      </c>
    </row>
    <row r="642" spans="1:2" x14ac:dyDescent="0.2">
      <c r="A642" t="s">
        <v>2536</v>
      </c>
      <c r="B642">
        <v>0</v>
      </c>
    </row>
    <row r="643" spans="1:2" x14ac:dyDescent="0.2">
      <c r="A643" t="s">
        <v>2537</v>
      </c>
      <c r="B643">
        <v>0</v>
      </c>
    </row>
    <row r="644" spans="1:2" x14ac:dyDescent="0.2">
      <c r="A644" t="s">
        <v>2538</v>
      </c>
      <c r="B644">
        <v>0</v>
      </c>
    </row>
    <row r="645" spans="1:2" x14ac:dyDescent="0.2">
      <c r="A645" t="s">
        <v>2539</v>
      </c>
      <c r="B645">
        <v>0</v>
      </c>
    </row>
    <row r="646" spans="1:2" x14ac:dyDescent="0.2">
      <c r="A646" t="s">
        <v>2540</v>
      </c>
      <c r="B646">
        <v>0</v>
      </c>
    </row>
    <row r="647" spans="1:2" x14ac:dyDescent="0.2">
      <c r="A647" t="s">
        <v>2541</v>
      </c>
      <c r="B647">
        <v>0</v>
      </c>
    </row>
    <row r="648" spans="1:2" x14ac:dyDescent="0.2">
      <c r="A648" t="s">
        <v>2542</v>
      </c>
      <c r="B648">
        <v>0</v>
      </c>
    </row>
    <row r="649" spans="1:2" x14ac:dyDescent="0.2">
      <c r="A649" t="s">
        <v>2543</v>
      </c>
      <c r="B649">
        <v>0</v>
      </c>
    </row>
    <row r="650" spans="1:2" x14ac:dyDescent="0.2">
      <c r="A650" t="s">
        <v>2532</v>
      </c>
      <c r="B650" t="b">
        <v>0</v>
      </c>
    </row>
    <row r="651" spans="1:2" x14ac:dyDescent="0.2">
      <c r="A651" t="s">
        <v>2533</v>
      </c>
      <c r="B651" t="b">
        <v>0</v>
      </c>
    </row>
    <row r="652" spans="1:2" x14ac:dyDescent="0.2">
      <c r="A652" t="s">
        <v>2534</v>
      </c>
      <c r="B652" t="b">
        <v>0</v>
      </c>
    </row>
    <row r="653" spans="1:2" x14ac:dyDescent="0.2">
      <c r="A653" t="s">
        <v>2535</v>
      </c>
      <c r="B653" t="b">
        <v>0</v>
      </c>
    </row>
    <row r="654" spans="1:2" x14ac:dyDescent="0.2">
      <c r="A654" t="s">
        <v>2740</v>
      </c>
      <c r="B654">
        <v>1</v>
      </c>
    </row>
    <row r="655" spans="1:2" x14ac:dyDescent="0.2">
      <c r="A655" t="s">
        <v>1799</v>
      </c>
      <c r="B655" t="b">
        <v>0</v>
      </c>
    </row>
    <row r="656" spans="1:2" x14ac:dyDescent="0.2">
      <c r="A656" t="s">
        <v>1800</v>
      </c>
      <c r="B656" t="b">
        <v>0</v>
      </c>
    </row>
    <row r="657" spans="1:2" x14ac:dyDescent="0.2">
      <c r="A657" t="s">
        <v>1801</v>
      </c>
      <c r="B657" t="b">
        <v>0</v>
      </c>
    </row>
    <row r="658" spans="1:2" x14ac:dyDescent="0.2">
      <c r="A658" t="s">
        <v>1802</v>
      </c>
      <c r="B658" t="b">
        <v>0</v>
      </c>
    </row>
    <row r="659" spans="1:2" x14ac:dyDescent="0.2">
      <c r="A659" t="s">
        <v>1803</v>
      </c>
      <c r="B659" t="b">
        <v>0</v>
      </c>
    </row>
    <row r="660" spans="1:2" x14ac:dyDescent="0.2">
      <c r="A660" t="s">
        <v>1804</v>
      </c>
      <c r="B660" t="b">
        <v>0</v>
      </c>
    </row>
    <row r="661" spans="1:2" x14ac:dyDescent="0.2">
      <c r="A661" t="s">
        <v>1805</v>
      </c>
      <c r="B661" t="b">
        <v>0</v>
      </c>
    </row>
    <row r="662" spans="1:2" x14ac:dyDescent="0.2">
      <c r="A662" t="s">
        <v>1806</v>
      </c>
      <c r="B662" t="b">
        <v>0</v>
      </c>
    </row>
    <row r="663" spans="1:2" x14ac:dyDescent="0.2">
      <c r="A663" t="s">
        <v>1807</v>
      </c>
      <c r="B663" t="b">
        <v>0</v>
      </c>
    </row>
    <row r="664" spans="1:2" x14ac:dyDescent="0.2">
      <c r="A664" t="s">
        <v>1808</v>
      </c>
      <c r="B664" t="b">
        <v>0</v>
      </c>
    </row>
    <row r="665" spans="1:2" x14ac:dyDescent="0.2">
      <c r="A665" t="s">
        <v>1809</v>
      </c>
      <c r="B665" t="b">
        <v>0</v>
      </c>
    </row>
    <row r="666" spans="1:2" x14ac:dyDescent="0.2">
      <c r="A666" t="s">
        <v>1810</v>
      </c>
      <c r="B666" t="b">
        <v>0</v>
      </c>
    </row>
    <row r="667" spans="1:2" x14ac:dyDescent="0.2">
      <c r="A667" t="s">
        <v>1811</v>
      </c>
      <c r="B667" t="b">
        <v>0</v>
      </c>
    </row>
    <row r="668" spans="1:2" x14ac:dyDescent="0.2">
      <c r="A668" t="s">
        <v>1812</v>
      </c>
      <c r="B668" t="b">
        <v>0</v>
      </c>
    </row>
    <row r="669" spans="1:2" x14ac:dyDescent="0.2">
      <c r="A669" t="s">
        <v>1813</v>
      </c>
      <c r="B669" t="b">
        <v>0</v>
      </c>
    </row>
    <row r="670" spans="1:2" x14ac:dyDescent="0.2">
      <c r="A670" t="s">
        <v>1814</v>
      </c>
      <c r="B670" t="b">
        <v>0</v>
      </c>
    </row>
    <row r="671" spans="1:2" x14ac:dyDescent="0.2">
      <c r="A671" t="s">
        <v>1815</v>
      </c>
      <c r="B671" t="b">
        <v>0</v>
      </c>
    </row>
    <row r="672" spans="1:2" x14ac:dyDescent="0.2">
      <c r="A672" t="s">
        <v>1816</v>
      </c>
      <c r="B672" t="b">
        <v>0</v>
      </c>
    </row>
    <row r="673" spans="1:2" x14ac:dyDescent="0.2">
      <c r="A673" t="s">
        <v>1817</v>
      </c>
      <c r="B673" t="b">
        <v>0</v>
      </c>
    </row>
    <row r="674" spans="1:2" x14ac:dyDescent="0.2">
      <c r="A674" t="s">
        <v>1818</v>
      </c>
      <c r="B674" t="b">
        <v>0</v>
      </c>
    </row>
    <row r="675" spans="1:2" x14ac:dyDescent="0.2">
      <c r="A675" t="s">
        <v>1819</v>
      </c>
      <c r="B675" t="b">
        <v>0</v>
      </c>
    </row>
    <row r="676" spans="1:2" x14ac:dyDescent="0.2">
      <c r="A676" t="s">
        <v>1820</v>
      </c>
      <c r="B676" t="b">
        <v>0</v>
      </c>
    </row>
    <row r="677" spans="1:2" x14ac:dyDescent="0.2">
      <c r="A677" t="s">
        <v>1821</v>
      </c>
      <c r="B677" t="b">
        <v>0</v>
      </c>
    </row>
    <row r="678" spans="1:2" x14ac:dyDescent="0.2">
      <c r="A678" t="s">
        <v>1822</v>
      </c>
      <c r="B678" t="b">
        <v>0</v>
      </c>
    </row>
    <row r="679" spans="1:2" x14ac:dyDescent="0.2">
      <c r="A679" t="s">
        <v>1823</v>
      </c>
      <c r="B679" t="b">
        <v>0</v>
      </c>
    </row>
    <row r="680" spans="1:2" x14ac:dyDescent="0.2">
      <c r="A680" t="s">
        <v>1824</v>
      </c>
      <c r="B680" t="b">
        <v>0</v>
      </c>
    </row>
    <row r="681" spans="1:2" x14ac:dyDescent="0.2">
      <c r="A681" t="s">
        <v>1825</v>
      </c>
      <c r="B681" t="b">
        <v>0</v>
      </c>
    </row>
    <row r="682" spans="1:2" x14ac:dyDescent="0.2">
      <c r="A682" t="s">
        <v>1826</v>
      </c>
      <c r="B682" t="b">
        <v>0</v>
      </c>
    </row>
    <row r="683" spans="1:2" x14ac:dyDescent="0.2">
      <c r="A683" t="s">
        <v>1827</v>
      </c>
      <c r="B683" t="b">
        <v>0</v>
      </c>
    </row>
    <row r="684" spans="1:2" x14ac:dyDescent="0.2">
      <c r="A684" t="s">
        <v>1828</v>
      </c>
      <c r="B684" t="b">
        <v>0</v>
      </c>
    </row>
    <row r="685" spans="1:2" x14ac:dyDescent="0.2">
      <c r="A685" t="s">
        <v>1829</v>
      </c>
      <c r="B685" t="b">
        <v>0</v>
      </c>
    </row>
    <row r="686" spans="1:2" x14ac:dyDescent="0.2">
      <c r="A686" t="s">
        <v>1830</v>
      </c>
      <c r="B686" t="b">
        <v>0</v>
      </c>
    </row>
    <row r="687" spans="1:2" x14ac:dyDescent="0.2">
      <c r="A687" t="s">
        <v>1831</v>
      </c>
      <c r="B687" t="b">
        <v>0</v>
      </c>
    </row>
    <row r="688" spans="1:2" x14ac:dyDescent="0.2">
      <c r="A688" t="s">
        <v>1832</v>
      </c>
      <c r="B688" t="b">
        <v>0</v>
      </c>
    </row>
    <row r="689" spans="1:2" x14ac:dyDescent="0.2">
      <c r="A689" t="s">
        <v>1833</v>
      </c>
      <c r="B689" t="b">
        <v>0</v>
      </c>
    </row>
    <row r="690" spans="1:2" x14ac:dyDescent="0.2">
      <c r="A690" t="s">
        <v>1834</v>
      </c>
      <c r="B690" t="b">
        <v>0</v>
      </c>
    </row>
    <row r="691" spans="1:2" x14ac:dyDescent="0.2">
      <c r="A691" t="s">
        <v>1835</v>
      </c>
      <c r="B691" t="b">
        <v>0</v>
      </c>
    </row>
    <row r="692" spans="1:2" x14ac:dyDescent="0.2">
      <c r="A692" t="s">
        <v>1836</v>
      </c>
      <c r="B692" t="b">
        <v>0</v>
      </c>
    </row>
    <row r="693" spans="1:2" x14ac:dyDescent="0.2">
      <c r="A693" t="s">
        <v>1837</v>
      </c>
      <c r="B693" t="b">
        <v>0</v>
      </c>
    </row>
    <row r="694" spans="1:2" x14ac:dyDescent="0.2">
      <c r="A694" t="s">
        <v>1838</v>
      </c>
      <c r="B694" t="b">
        <v>0</v>
      </c>
    </row>
    <row r="695" spans="1:2" x14ac:dyDescent="0.2">
      <c r="A695" t="s">
        <v>1839</v>
      </c>
      <c r="B695" t="b">
        <v>0</v>
      </c>
    </row>
    <row r="696" spans="1:2" x14ac:dyDescent="0.2">
      <c r="A696" t="s">
        <v>1840</v>
      </c>
      <c r="B696" t="b">
        <v>0</v>
      </c>
    </row>
    <row r="697" spans="1:2" x14ac:dyDescent="0.2">
      <c r="A697" t="s">
        <v>1841</v>
      </c>
      <c r="B697" t="b">
        <v>0</v>
      </c>
    </row>
    <row r="698" spans="1:2" x14ac:dyDescent="0.2">
      <c r="A698" t="s">
        <v>1842</v>
      </c>
      <c r="B698" t="b">
        <v>0</v>
      </c>
    </row>
    <row r="699" spans="1:2" x14ac:dyDescent="0.2">
      <c r="A699" t="s">
        <v>1843</v>
      </c>
      <c r="B699" t="b">
        <v>0</v>
      </c>
    </row>
    <row r="700" spans="1:2" x14ac:dyDescent="0.2">
      <c r="A700" t="s">
        <v>1844</v>
      </c>
      <c r="B700" t="b">
        <v>0</v>
      </c>
    </row>
    <row r="701" spans="1:2" x14ac:dyDescent="0.2">
      <c r="A701" t="s">
        <v>1845</v>
      </c>
      <c r="B701" t="b">
        <v>0</v>
      </c>
    </row>
    <row r="702" spans="1:2" x14ac:dyDescent="0.2">
      <c r="A702" t="s">
        <v>1846</v>
      </c>
      <c r="B702" t="b">
        <v>0</v>
      </c>
    </row>
    <row r="703" spans="1:2" x14ac:dyDescent="0.2">
      <c r="A703" t="s">
        <v>1847</v>
      </c>
      <c r="B703" t="b">
        <v>0</v>
      </c>
    </row>
    <row r="704" spans="1:2" x14ac:dyDescent="0.2">
      <c r="A704" t="s">
        <v>1848</v>
      </c>
      <c r="B704" t="b">
        <v>0</v>
      </c>
    </row>
    <row r="705" spans="1:2" x14ac:dyDescent="0.2">
      <c r="A705" t="s">
        <v>1849</v>
      </c>
      <c r="B705" t="b">
        <v>0</v>
      </c>
    </row>
    <row r="706" spans="1:2" x14ac:dyDescent="0.2">
      <c r="A706" t="s">
        <v>1850</v>
      </c>
      <c r="B706" t="b">
        <v>0</v>
      </c>
    </row>
    <row r="707" spans="1:2" x14ac:dyDescent="0.2">
      <c r="A707" t="s">
        <v>1851</v>
      </c>
      <c r="B707" t="b">
        <v>0</v>
      </c>
    </row>
    <row r="708" spans="1:2" x14ac:dyDescent="0.2">
      <c r="A708" t="s">
        <v>1852</v>
      </c>
      <c r="B708" t="b">
        <v>0</v>
      </c>
    </row>
    <row r="709" spans="1:2" x14ac:dyDescent="0.2">
      <c r="A709" t="s">
        <v>1853</v>
      </c>
      <c r="B709" t="b">
        <v>0</v>
      </c>
    </row>
    <row r="710" spans="1:2" x14ac:dyDescent="0.2">
      <c r="A710" t="s">
        <v>1854</v>
      </c>
      <c r="B710" t="b">
        <v>0</v>
      </c>
    </row>
    <row r="711" spans="1:2" x14ac:dyDescent="0.2">
      <c r="A711" t="s">
        <v>1855</v>
      </c>
      <c r="B711" t="b">
        <v>0</v>
      </c>
    </row>
    <row r="712" spans="1:2" x14ac:dyDescent="0.2">
      <c r="A712" t="s">
        <v>1856</v>
      </c>
      <c r="B712" t="b">
        <v>0</v>
      </c>
    </row>
    <row r="713" spans="1:2" x14ac:dyDescent="0.2">
      <c r="A713" t="s">
        <v>1857</v>
      </c>
      <c r="B713" t="b">
        <v>0</v>
      </c>
    </row>
    <row r="714" spans="1:2" x14ac:dyDescent="0.2">
      <c r="A714" t="s">
        <v>1858</v>
      </c>
      <c r="B714" t="b">
        <v>0</v>
      </c>
    </row>
    <row r="715" spans="1:2" x14ac:dyDescent="0.2">
      <c r="A715" t="s">
        <v>1859</v>
      </c>
      <c r="B715" t="b">
        <v>0</v>
      </c>
    </row>
    <row r="716" spans="1:2" x14ac:dyDescent="0.2">
      <c r="A716" t="s">
        <v>1860</v>
      </c>
      <c r="B716" t="b">
        <v>0</v>
      </c>
    </row>
    <row r="717" spans="1:2" x14ac:dyDescent="0.2">
      <c r="A717" t="s">
        <v>1861</v>
      </c>
      <c r="B717" t="b">
        <v>0</v>
      </c>
    </row>
    <row r="718" spans="1:2" x14ac:dyDescent="0.2">
      <c r="A718" t="s">
        <v>1862</v>
      </c>
      <c r="B718" t="b">
        <v>0</v>
      </c>
    </row>
    <row r="719" spans="1:2" x14ac:dyDescent="0.2">
      <c r="A719" t="s">
        <v>1863</v>
      </c>
      <c r="B719" t="b">
        <v>0</v>
      </c>
    </row>
    <row r="720" spans="1:2" x14ac:dyDescent="0.2">
      <c r="A720" t="s">
        <v>1864</v>
      </c>
      <c r="B720" t="b">
        <v>0</v>
      </c>
    </row>
    <row r="721" spans="1:2" x14ac:dyDescent="0.2">
      <c r="A721" t="s">
        <v>1865</v>
      </c>
      <c r="B721" t="b">
        <v>0</v>
      </c>
    </row>
    <row r="722" spans="1:2" x14ac:dyDescent="0.2">
      <c r="A722" t="s">
        <v>1866</v>
      </c>
      <c r="B722" t="b">
        <v>0</v>
      </c>
    </row>
    <row r="723" spans="1:2" x14ac:dyDescent="0.2">
      <c r="A723" t="s">
        <v>1867</v>
      </c>
      <c r="B723" t="b">
        <v>0</v>
      </c>
    </row>
    <row r="724" spans="1:2" x14ac:dyDescent="0.2">
      <c r="A724" t="s">
        <v>1868</v>
      </c>
      <c r="B724" t="b">
        <v>0</v>
      </c>
    </row>
    <row r="725" spans="1:2" x14ac:dyDescent="0.2">
      <c r="A725" t="s">
        <v>1869</v>
      </c>
      <c r="B725" t="b">
        <v>0</v>
      </c>
    </row>
    <row r="726" spans="1:2" x14ac:dyDescent="0.2">
      <c r="A726" t="s">
        <v>1870</v>
      </c>
      <c r="B726" t="b">
        <v>0</v>
      </c>
    </row>
    <row r="727" spans="1:2" x14ac:dyDescent="0.2">
      <c r="A727" t="s">
        <v>1871</v>
      </c>
      <c r="B727" t="b">
        <v>0</v>
      </c>
    </row>
    <row r="728" spans="1:2" x14ac:dyDescent="0.2">
      <c r="A728" t="s">
        <v>1872</v>
      </c>
      <c r="B728" t="b">
        <v>0</v>
      </c>
    </row>
    <row r="729" spans="1:2" x14ac:dyDescent="0.2">
      <c r="A729" t="s">
        <v>1873</v>
      </c>
      <c r="B729" t="b">
        <v>0</v>
      </c>
    </row>
    <row r="730" spans="1:2" x14ac:dyDescent="0.2">
      <c r="A730" t="s">
        <v>1874</v>
      </c>
      <c r="B730" t="b">
        <v>0</v>
      </c>
    </row>
    <row r="731" spans="1:2" x14ac:dyDescent="0.2">
      <c r="A731" t="s">
        <v>1875</v>
      </c>
      <c r="B731" t="b">
        <v>0</v>
      </c>
    </row>
    <row r="732" spans="1:2" x14ac:dyDescent="0.2">
      <c r="A732" t="s">
        <v>1876</v>
      </c>
      <c r="B732" t="b">
        <v>0</v>
      </c>
    </row>
    <row r="733" spans="1:2" x14ac:dyDescent="0.2">
      <c r="A733" t="s">
        <v>1877</v>
      </c>
      <c r="B733" t="b">
        <v>0</v>
      </c>
    </row>
    <row r="734" spans="1:2" x14ac:dyDescent="0.2">
      <c r="A734" t="s">
        <v>1878</v>
      </c>
      <c r="B734" t="b">
        <v>0</v>
      </c>
    </row>
    <row r="735" spans="1:2" x14ac:dyDescent="0.2">
      <c r="A735" t="s">
        <v>1879</v>
      </c>
      <c r="B735" t="b">
        <v>0</v>
      </c>
    </row>
    <row r="736" spans="1:2" x14ac:dyDescent="0.2">
      <c r="A736" t="s">
        <v>1880</v>
      </c>
      <c r="B736" t="b">
        <v>0</v>
      </c>
    </row>
    <row r="737" spans="1:2" x14ac:dyDescent="0.2">
      <c r="A737" t="s">
        <v>1881</v>
      </c>
      <c r="B737" t="b">
        <v>0</v>
      </c>
    </row>
    <row r="738" spans="1:2" x14ac:dyDescent="0.2">
      <c r="A738" t="s">
        <v>1882</v>
      </c>
      <c r="B738" t="b">
        <v>0</v>
      </c>
    </row>
    <row r="739" spans="1:2" x14ac:dyDescent="0.2">
      <c r="A739" t="s">
        <v>1883</v>
      </c>
      <c r="B739" t="b">
        <v>0</v>
      </c>
    </row>
    <row r="740" spans="1:2" x14ac:dyDescent="0.2">
      <c r="A740" t="s">
        <v>1884</v>
      </c>
      <c r="B740" t="b">
        <v>0</v>
      </c>
    </row>
    <row r="741" spans="1:2" x14ac:dyDescent="0.2">
      <c r="A741" t="s">
        <v>1798</v>
      </c>
      <c r="B741" t="b">
        <v>0</v>
      </c>
    </row>
    <row r="742" spans="1:2" x14ac:dyDescent="0.2">
      <c r="A742" t="s">
        <v>1885</v>
      </c>
      <c r="B742" t="b">
        <v>0</v>
      </c>
    </row>
    <row r="743" spans="1:2" x14ac:dyDescent="0.2">
      <c r="A743" t="s">
        <v>1886</v>
      </c>
      <c r="B743" t="b">
        <v>0</v>
      </c>
    </row>
    <row r="744" spans="1:2" x14ac:dyDescent="0.2">
      <c r="A744" t="s">
        <v>1887</v>
      </c>
      <c r="B744">
        <v>0</v>
      </c>
    </row>
    <row r="745" spans="1:2" x14ac:dyDescent="0.2">
      <c r="A745" t="s">
        <v>1888</v>
      </c>
      <c r="B745">
        <v>1</v>
      </c>
    </row>
    <row r="746" spans="1:2" x14ac:dyDescent="0.2">
      <c r="A746" t="s">
        <v>1889</v>
      </c>
      <c r="B746">
        <v>0</v>
      </c>
    </row>
    <row r="747" spans="1:2" x14ac:dyDescent="0.2">
      <c r="A747" t="s">
        <v>1890</v>
      </c>
      <c r="B747">
        <v>1</v>
      </c>
    </row>
    <row r="748" spans="1:2" x14ac:dyDescent="0.2">
      <c r="A748" t="s">
        <v>1891</v>
      </c>
      <c r="B748">
        <v>0</v>
      </c>
    </row>
    <row r="749" spans="1:2" x14ac:dyDescent="0.2">
      <c r="A749" t="s">
        <v>1892</v>
      </c>
      <c r="B749">
        <v>1</v>
      </c>
    </row>
    <row r="750" spans="1:2" x14ac:dyDescent="0.2">
      <c r="A750" t="s">
        <v>1893</v>
      </c>
      <c r="B750">
        <v>0</v>
      </c>
    </row>
    <row r="751" spans="1:2" x14ac:dyDescent="0.2">
      <c r="A751" t="s">
        <v>1894</v>
      </c>
      <c r="B751">
        <v>1</v>
      </c>
    </row>
    <row r="752" spans="1:2" x14ac:dyDescent="0.2">
      <c r="A752" t="s">
        <v>1895</v>
      </c>
      <c r="B752">
        <v>0</v>
      </c>
    </row>
    <row r="753" spans="1:2" x14ac:dyDescent="0.2">
      <c r="A753" t="s">
        <v>1896</v>
      </c>
      <c r="B753">
        <v>0</v>
      </c>
    </row>
    <row r="754" spans="1:2" x14ac:dyDescent="0.2">
      <c r="A754" t="s">
        <v>1897</v>
      </c>
      <c r="B754">
        <v>0</v>
      </c>
    </row>
    <row r="755" spans="1:2" x14ac:dyDescent="0.2">
      <c r="A755" t="s">
        <v>1898</v>
      </c>
      <c r="B755">
        <v>0</v>
      </c>
    </row>
    <row r="756" spans="1:2" x14ac:dyDescent="0.2">
      <c r="A756" t="s">
        <v>1899</v>
      </c>
      <c r="B756">
        <v>1</v>
      </c>
    </row>
    <row r="757" spans="1:2" x14ac:dyDescent="0.2">
      <c r="A757" t="s">
        <v>1900</v>
      </c>
      <c r="B757">
        <v>1</v>
      </c>
    </row>
    <row r="758" spans="1:2" x14ac:dyDescent="0.2">
      <c r="A758" t="s">
        <v>1901</v>
      </c>
      <c r="B758">
        <v>1</v>
      </c>
    </row>
    <row r="759" spans="1:2" x14ac:dyDescent="0.2">
      <c r="A759" t="s">
        <v>1902</v>
      </c>
      <c r="B759">
        <v>1</v>
      </c>
    </row>
    <row r="760" spans="1:2" x14ac:dyDescent="0.2">
      <c r="A760" t="s">
        <v>1903</v>
      </c>
      <c r="B760">
        <v>1</v>
      </c>
    </row>
    <row r="761" spans="1:2" x14ac:dyDescent="0.2">
      <c r="A761" t="s">
        <v>1904</v>
      </c>
      <c r="B761">
        <v>1</v>
      </c>
    </row>
    <row r="762" spans="1:2" x14ac:dyDescent="0.2">
      <c r="A762" t="s">
        <v>1905</v>
      </c>
      <c r="B762">
        <v>1</v>
      </c>
    </row>
    <row r="763" spans="1:2" x14ac:dyDescent="0.2">
      <c r="A763" t="s">
        <v>1906</v>
      </c>
      <c r="B763">
        <v>1</v>
      </c>
    </row>
    <row r="764" spans="1:2" x14ac:dyDescent="0.2">
      <c r="A764" t="s">
        <v>1907</v>
      </c>
      <c r="B764">
        <v>1</v>
      </c>
    </row>
    <row r="765" spans="1:2" x14ac:dyDescent="0.2">
      <c r="A765" t="s">
        <v>1908</v>
      </c>
      <c r="B765">
        <v>1</v>
      </c>
    </row>
    <row r="766" spans="1:2" x14ac:dyDescent="0.2">
      <c r="A766" t="s">
        <v>1909</v>
      </c>
      <c r="B766">
        <v>0</v>
      </c>
    </row>
    <row r="767" spans="1:2" x14ac:dyDescent="0.2">
      <c r="A767" t="s">
        <v>1910</v>
      </c>
      <c r="B767">
        <v>50</v>
      </c>
    </row>
    <row r="768" spans="1:2" x14ac:dyDescent="0.2">
      <c r="A768" t="s">
        <v>1911</v>
      </c>
      <c r="B768" t="b">
        <v>0</v>
      </c>
    </row>
    <row r="769" spans="1:2" x14ac:dyDescent="0.2">
      <c r="A769" t="s">
        <v>1786</v>
      </c>
      <c r="B769">
        <v>50</v>
      </c>
    </row>
    <row r="770" spans="1:2" x14ac:dyDescent="0.2">
      <c r="A770" t="s">
        <v>2544</v>
      </c>
      <c r="B770">
        <v>0</v>
      </c>
    </row>
    <row r="771" spans="1:2" x14ac:dyDescent="0.2">
      <c r="A771" t="s">
        <v>2546</v>
      </c>
      <c r="B771" t="s">
        <v>4336</v>
      </c>
    </row>
    <row r="772" spans="1:2" x14ac:dyDescent="0.2">
      <c r="A772" t="s">
        <v>2548</v>
      </c>
      <c r="B772">
        <v>1</v>
      </c>
    </row>
    <row r="773" spans="1:2" x14ac:dyDescent="0.2">
      <c r="A773" t="s">
        <v>2551</v>
      </c>
      <c r="B773">
        <v>2</v>
      </c>
    </row>
    <row r="774" spans="1:2" x14ac:dyDescent="0.2">
      <c r="A774" t="s">
        <v>2553</v>
      </c>
      <c r="B774">
        <v>0</v>
      </c>
    </row>
    <row r="775" spans="1:2" x14ac:dyDescent="0.2">
      <c r="A775" t="s">
        <v>2554</v>
      </c>
      <c r="B775">
        <v>0</v>
      </c>
    </row>
    <row r="776" spans="1:2" x14ac:dyDescent="0.2">
      <c r="A776" t="s">
        <v>2557</v>
      </c>
      <c r="B776">
        <v>2</v>
      </c>
    </row>
    <row r="777" spans="1:2" x14ac:dyDescent="0.2">
      <c r="A777" t="s">
        <v>2559</v>
      </c>
      <c r="B777">
        <v>0</v>
      </c>
    </row>
    <row r="778" spans="1:2" x14ac:dyDescent="0.2">
      <c r="A778" t="s">
        <v>2560</v>
      </c>
      <c r="B778">
        <v>0</v>
      </c>
    </row>
    <row r="779" spans="1:2" x14ac:dyDescent="0.2">
      <c r="A779" t="s">
        <v>2563</v>
      </c>
      <c r="B779">
        <v>5000</v>
      </c>
    </row>
    <row r="780" spans="1:2" x14ac:dyDescent="0.2">
      <c r="A780" t="s">
        <v>2565</v>
      </c>
      <c r="B780">
        <v>5000</v>
      </c>
    </row>
    <row r="781" spans="1:2" x14ac:dyDescent="0.2">
      <c r="A781" t="s">
        <v>2678</v>
      </c>
      <c r="B781">
        <v>1</v>
      </c>
    </row>
    <row r="782" spans="1:2" x14ac:dyDescent="0.2">
      <c r="A782" t="s">
        <v>2567</v>
      </c>
      <c r="B782">
        <v>5000</v>
      </c>
    </row>
    <row r="783" spans="1:2" x14ac:dyDescent="0.2">
      <c r="A783" t="s">
        <v>2569</v>
      </c>
      <c r="B783">
        <v>1</v>
      </c>
    </row>
    <row r="784" spans="1:2" x14ac:dyDescent="0.2">
      <c r="A784" t="s">
        <v>2570</v>
      </c>
      <c r="B784">
        <v>1</v>
      </c>
    </row>
    <row r="785" spans="1:2" x14ac:dyDescent="0.2">
      <c r="A785" t="s">
        <v>2571</v>
      </c>
      <c r="B785">
        <v>1</v>
      </c>
    </row>
    <row r="786" spans="1:2" x14ac:dyDescent="0.2">
      <c r="A786" t="s">
        <v>2572</v>
      </c>
      <c r="B786">
        <v>1</v>
      </c>
    </row>
    <row r="787" spans="1:2" x14ac:dyDescent="0.2">
      <c r="A787" t="s">
        <v>2573</v>
      </c>
      <c r="B787">
        <v>1</v>
      </c>
    </row>
    <row r="788" spans="1:2" x14ac:dyDescent="0.2">
      <c r="A788" t="s">
        <v>2574</v>
      </c>
      <c r="B788">
        <v>1</v>
      </c>
    </row>
    <row r="789" spans="1:2" x14ac:dyDescent="0.2">
      <c r="A789" t="s">
        <v>2575</v>
      </c>
      <c r="B789">
        <v>1</v>
      </c>
    </row>
    <row r="790" spans="1:2" x14ac:dyDescent="0.2">
      <c r="A790" t="s">
        <v>2576</v>
      </c>
      <c r="B790">
        <v>1</v>
      </c>
    </row>
    <row r="791" spans="1:2" x14ac:dyDescent="0.2">
      <c r="A791" t="s">
        <v>2577</v>
      </c>
      <c r="B791">
        <v>1</v>
      </c>
    </row>
    <row r="792" spans="1:2" x14ac:dyDescent="0.2">
      <c r="A792" t="s">
        <v>2587</v>
      </c>
      <c r="B792">
        <v>0</v>
      </c>
    </row>
    <row r="793" spans="1:2" x14ac:dyDescent="0.2">
      <c r="A793" t="s">
        <v>2588</v>
      </c>
      <c r="B793">
        <v>0</v>
      </c>
    </row>
    <row r="794" spans="1:2" x14ac:dyDescent="0.2">
      <c r="A794" t="s">
        <v>2589</v>
      </c>
      <c r="B794">
        <v>0</v>
      </c>
    </row>
    <row r="795" spans="1:2" x14ac:dyDescent="0.2">
      <c r="A795" t="s">
        <v>2590</v>
      </c>
      <c r="B795">
        <v>0</v>
      </c>
    </row>
    <row r="796" spans="1:2" x14ac:dyDescent="0.2">
      <c r="A796" t="s">
        <v>2591</v>
      </c>
      <c r="B796">
        <v>0</v>
      </c>
    </row>
    <row r="797" spans="1:2" x14ac:dyDescent="0.2">
      <c r="A797" t="s">
        <v>2592</v>
      </c>
      <c r="B797">
        <v>0</v>
      </c>
    </row>
    <row r="798" spans="1:2" x14ac:dyDescent="0.2">
      <c r="A798" t="s">
        <v>2593</v>
      </c>
      <c r="B798">
        <v>0</v>
      </c>
    </row>
    <row r="799" spans="1:2" x14ac:dyDescent="0.2">
      <c r="A799" t="s">
        <v>2594</v>
      </c>
      <c r="B799">
        <v>0</v>
      </c>
    </row>
    <row r="800" spans="1:2" x14ac:dyDescent="0.2">
      <c r="A800" t="s">
        <v>2595</v>
      </c>
      <c r="B800">
        <v>0</v>
      </c>
    </row>
    <row r="801" spans="1:2" x14ac:dyDescent="0.2">
      <c r="A801" t="s">
        <v>2605</v>
      </c>
      <c r="B801" t="s">
        <v>4336</v>
      </c>
    </row>
    <row r="802" spans="1:2" x14ac:dyDescent="0.2">
      <c r="A802" t="s">
        <v>2606</v>
      </c>
      <c r="B802" t="s">
        <v>4336</v>
      </c>
    </row>
    <row r="803" spans="1:2" x14ac:dyDescent="0.2">
      <c r="A803" t="s">
        <v>2609</v>
      </c>
      <c r="B803">
        <v>5000</v>
      </c>
    </row>
    <row r="804" spans="1:2" x14ac:dyDescent="0.2">
      <c r="A804" t="s">
        <v>2612</v>
      </c>
      <c r="B804">
        <v>5000</v>
      </c>
    </row>
    <row r="805" spans="1:2" x14ac:dyDescent="0.2">
      <c r="A805" t="s">
        <v>2614</v>
      </c>
      <c r="B805">
        <v>0</v>
      </c>
    </row>
    <row r="806" spans="1:2" x14ac:dyDescent="0.2">
      <c r="A806" t="s">
        <v>2615</v>
      </c>
      <c r="B806">
        <v>0</v>
      </c>
    </row>
    <row r="807" spans="1:2" x14ac:dyDescent="0.2">
      <c r="A807" t="s">
        <v>2616</v>
      </c>
      <c r="B807">
        <v>0</v>
      </c>
    </row>
    <row r="808" spans="1:2" x14ac:dyDescent="0.2">
      <c r="A808" t="s">
        <v>2617</v>
      </c>
      <c r="B808">
        <v>0</v>
      </c>
    </row>
    <row r="809" spans="1:2" x14ac:dyDescent="0.2">
      <c r="A809" t="s">
        <v>2618</v>
      </c>
      <c r="B809">
        <v>0</v>
      </c>
    </row>
    <row r="810" spans="1:2" x14ac:dyDescent="0.2">
      <c r="A810" t="s">
        <v>2619</v>
      </c>
      <c r="B810">
        <v>0</v>
      </c>
    </row>
    <row r="811" spans="1:2" x14ac:dyDescent="0.2">
      <c r="A811" t="s">
        <v>2620</v>
      </c>
      <c r="B811">
        <v>0</v>
      </c>
    </row>
    <row r="812" spans="1:2" x14ac:dyDescent="0.2">
      <c r="A812" t="s">
        <v>2621</v>
      </c>
      <c r="B812">
        <v>0</v>
      </c>
    </row>
    <row r="813" spans="1:2" x14ac:dyDescent="0.2">
      <c r="A813" t="s">
        <v>2622</v>
      </c>
      <c r="B813">
        <v>0</v>
      </c>
    </row>
    <row r="814" spans="1:2" x14ac:dyDescent="0.2">
      <c r="A814" t="s">
        <v>2635</v>
      </c>
      <c r="B814">
        <v>1</v>
      </c>
    </row>
    <row r="815" spans="1:2" x14ac:dyDescent="0.2">
      <c r="A815" t="s">
        <v>2636</v>
      </c>
      <c r="B815">
        <v>1</v>
      </c>
    </row>
    <row r="816" spans="1:2" x14ac:dyDescent="0.2">
      <c r="A816" t="s">
        <v>2637</v>
      </c>
      <c r="B816">
        <v>1</v>
      </c>
    </row>
    <row r="817" spans="1:2" x14ac:dyDescent="0.2">
      <c r="A817" t="s">
        <v>2638</v>
      </c>
      <c r="B817">
        <v>1</v>
      </c>
    </row>
    <row r="818" spans="1:2" x14ac:dyDescent="0.2">
      <c r="A818" t="s">
        <v>2639</v>
      </c>
      <c r="B818">
        <v>1</v>
      </c>
    </row>
    <row r="819" spans="1:2" x14ac:dyDescent="0.2">
      <c r="A819" t="s">
        <v>2640</v>
      </c>
      <c r="B819">
        <v>1</v>
      </c>
    </row>
    <row r="820" spans="1:2" x14ac:dyDescent="0.2">
      <c r="A820" t="s">
        <v>2641</v>
      </c>
      <c r="B820">
        <v>1</v>
      </c>
    </row>
    <row r="821" spans="1:2" x14ac:dyDescent="0.2">
      <c r="A821" t="s">
        <v>2642</v>
      </c>
      <c r="B821">
        <v>1</v>
      </c>
    </row>
    <row r="822" spans="1:2" x14ac:dyDescent="0.2">
      <c r="A822" t="s">
        <v>2643</v>
      </c>
      <c r="B822">
        <v>1</v>
      </c>
    </row>
    <row r="823" spans="1:2" x14ac:dyDescent="0.2">
      <c r="A823" t="s">
        <v>2632</v>
      </c>
      <c r="B823">
        <v>0</v>
      </c>
    </row>
    <row r="824" spans="1:2" x14ac:dyDescent="0.2">
      <c r="A824" t="s">
        <v>2633</v>
      </c>
      <c r="B824">
        <v>0</v>
      </c>
    </row>
    <row r="825" spans="1:2" x14ac:dyDescent="0.2">
      <c r="A825" t="s">
        <v>2634</v>
      </c>
      <c r="B825">
        <v>0</v>
      </c>
    </row>
    <row r="826" spans="1:2" x14ac:dyDescent="0.2">
      <c r="A826" t="s">
        <v>2656</v>
      </c>
      <c r="B826" t="b">
        <v>0</v>
      </c>
    </row>
    <row r="827" spans="1:2" x14ac:dyDescent="0.2">
      <c r="A827" t="s">
        <v>2658</v>
      </c>
      <c r="B827">
        <v>1</v>
      </c>
    </row>
    <row r="828" spans="1:2" x14ac:dyDescent="0.2">
      <c r="A828" t="s">
        <v>2659</v>
      </c>
      <c r="B828">
        <v>1</v>
      </c>
    </row>
    <row r="829" spans="1:2" x14ac:dyDescent="0.2">
      <c r="A829" t="s">
        <v>2660</v>
      </c>
      <c r="B829">
        <v>1</v>
      </c>
    </row>
    <row r="830" spans="1:2" x14ac:dyDescent="0.2">
      <c r="A830" t="s">
        <v>2661</v>
      </c>
      <c r="B830">
        <v>1</v>
      </c>
    </row>
    <row r="831" spans="1:2" x14ac:dyDescent="0.2">
      <c r="A831" t="s">
        <v>2662</v>
      </c>
      <c r="B831">
        <v>1</v>
      </c>
    </row>
    <row r="832" spans="1:2" x14ac:dyDescent="0.2">
      <c r="A832" t="s">
        <v>2663</v>
      </c>
      <c r="B832">
        <v>1</v>
      </c>
    </row>
    <row r="833" spans="1:2" x14ac:dyDescent="0.2">
      <c r="A833" t="s">
        <v>2664</v>
      </c>
      <c r="B833">
        <v>1</v>
      </c>
    </row>
    <row r="834" spans="1:2" x14ac:dyDescent="0.2">
      <c r="A834" t="s">
        <v>2665</v>
      </c>
      <c r="B834">
        <v>1</v>
      </c>
    </row>
    <row r="835" spans="1:2" x14ac:dyDescent="0.2">
      <c r="A835" t="s">
        <v>2666</v>
      </c>
      <c r="B835">
        <v>1</v>
      </c>
    </row>
    <row r="836" spans="1:2" x14ac:dyDescent="0.2">
      <c r="A836" t="s">
        <v>2676</v>
      </c>
      <c r="B836">
        <v>5000</v>
      </c>
    </row>
    <row r="837" spans="1:2" x14ac:dyDescent="0.2">
      <c r="A837" t="s">
        <v>2680</v>
      </c>
      <c r="B837">
        <v>5000</v>
      </c>
    </row>
    <row r="838" spans="1:2" x14ac:dyDescent="0.2">
      <c r="A838" t="s">
        <v>2682</v>
      </c>
      <c r="B838">
        <v>5000</v>
      </c>
    </row>
    <row r="839" spans="1:2" x14ac:dyDescent="0.2">
      <c r="A839" t="s">
        <v>2687</v>
      </c>
      <c r="B839">
        <v>0</v>
      </c>
    </row>
    <row r="840" spans="1:2" x14ac:dyDescent="0.2">
      <c r="A840" t="s">
        <v>2688</v>
      </c>
      <c r="B840">
        <v>0</v>
      </c>
    </row>
    <row r="841" spans="1:2" x14ac:dyDescent="0.2">
      <c r="A841" t="s">
        <v>2689</v>
      </c>
      <c r="B841">
        <v>0</v>
      </c>
    </row>
    <row r="842" spans="1:2" x14ac:dyDescent="0.2">
      <c r="A842" t="s">
        <v>2690</v>
      </c>
      <c r="B842">
        <v>0</v>
      </c>
    </row>
    <row r="843" spans="1:2" x14ac:dyDescent="0.2">
      <c r="A843" t="s">
        <v>2691</v>
      </c>
      <c r="B843">
        <v>0</v>
      </c>
    </row>
    <row r="844" spans="1:2" x14ac:dyDescent="0.2">
      <c r="A844" t="s">
        <v>2692</v>
      </c>
      <c r="B844">
        <v>0</v>
      </c>
    </row>
    <row r="845" spans="1:2" x14ac:dyDescent="0.2">
      <c r="A845" t="s">
        <v>2693</v>
      </c>
      <c r="B845">
        <v>0</v>
      </c>
    </row>
    <row r="846" spans="1:2" x14ac:dyDescent="0.2">
      <c r="A846" t="s">
        <v>2694</v>
      </c>
      <c r="B846">
        <v>0</v>
      </c>
    </row>
    <row r="847" spans="1:2" x14ac:dyDescent="0.2">
      <c r="A847" t="s">
        <v>2695</v>
      </c>
      <c r="B847">
        <v>0</v>
      </c>
    </row>
    <row r="848" spans="1:2" x14ac:dyDescent="0.2">
      <c r="A848" t="s">
        <v>2684</v>
      </c>
      <c r="B848">
        <v>0</v>
      </c>
    </row>
    <row r="849" spans="1:2" x14ac:dyDescent="0.2">
      <c r="A849" t="s">
        <v>2685</v>
      </c>
      <c r="B849">
        <v>0</v>
      </c>
    </row>
    <row r="850" spans="1:2" x14ac:dyDescent="0.2">
      <c r="A850" t="s">
        <v>2686</v>
      </c>
      <c r="B850">
        <v>0</v>
      </c>
    </row>
    <row r="851" spans="1:2" x14ac:dyDescent="0.2">
      <c r="A851" t="s">
        <v>2708</v>
      </c>
      <c r="B851">
        <v>0</v>
      </c>
    </row>
    <row r="852" spans="1:2" x14ac:dyDescent="0.2">
      <c r="A852" t="s">
        <v>2709</v>
      </c>
      <c r="B852">
        <v>0</v>
      </c>
    </row>
    <row r="853" spans="1:2" x14ac:dyDescent="0.2">
      <c r="A853" t="s">
        <v>2710</v>
      </c>
      <c r="B853">
        <v>0</v>
      </c>
    </row>
    <row r="854" spans="1:2" x14ac:dyDescent="0.2">
      <c r="A854" t="s">
        <v>2711</v>
      </c>
      <c r="B854">
        <v>0</v>
      </c>
    </row>
    <row r="855" spans="1:2" x14ac:dyDescent="0.2">
      <c r="A855" t="s">
        <v>2712</v>
      </c>
      <c r="B855">
        <v>0</v>
      </c>
    </row>
    <row r="856" spans="1:2" x14ac:dyDescent="0.2">
      <c r="A856" t="s">
        <v>2713</v>
      </c>
      <c r="B856">
        <v>0</v>
      </c>
    </row>
    <row r="857" spans="1:2" x14ac:dyDescent="0.2">
      <c r="A857" t="s">
        <v>2714</v>
      </c>
      <c r="B857">
        <v>0</v>
      </c>
    </row>
    <row r="858" spans="1:2" x14ac:dyDescent="0.2">
      <c r="A858" t="s">
        <v>2715</v>
      </c>
      <c r="B858">
        <v>0</v>
      </c>
    </row>
    <row r="859" spans="1:2" x14ac:dyDescent="0.2">
      <c r="A859" t="s">
        <v>2716</v>
      </c>
      <c r="B859">
        <v>0</v>
      </c>
    </row>
    <row r="860" spans="1:2" x14ac:dyDescent="0.2">
      <c r="A860" t="s">
        <v>2717</v>
      </c>
      <c r="B860" t="s">
        <v>605</v>
      </c>
    </row>
    <row r="861" spans="1:2" x14ac:dyDescent="0.2">
      <c r="A861" t="s">
        <v>2719</v>
      </c>
      <c r="B861">
        <v>1</v>
      </c>
    </row>
    <row r="862" spans="1:2" x14ac:dyDescent="0.2">
      <c r="A862" t="s">
        <v>2720</v>
      </c>
      <c r="B862">
        <v>1</v>
      </c>
    </row>
    <row r="863" spans="1:2" x14ac:dyDescent="0.2">
      <c r="A863" t="s">
        <v>2721</v>
      </c>
      <c r="B863">
        <v>1</v>
      </c>
    </row>
    <row r="864" spans="1:2" x14ac:dyDescent="0.2">
      <c r="A864" t="s">
        <v>2722</v>
      </c>
      <c r="B864">
        <v>1</v>
      </c>
    </row>
    <row r="865" spans="1:2" x14ac:dyDescent="0.2">
      <c r="A865" t="s">
        <v>2723</v>
      </c>
      <c r="B865">
        <v>1</v>
      </c>
    </row>
    <row r="866" spans="1:2" x14ac:dyDescent="0.2">
      <c r="A866" t="s">
        <v>2724</v>
      </c>
      <c r="B866">
        <v>1</v>
      </c>
    </row>
    <row r="867" spans="1:2" x14ac:dyDescent="0.2">
      <c r="A867" t="s">
        <v>2725</v>
      </c>
      <c r="B867">
        <v>1</v>
      </c>
    </row>
    <row r="868" spans="1:2" x14ac:dyDescent="0.2">
      <c r="A868" t="s">
        <v>2726</v>
      </c>
      <c r="B868">
        <v>1</v>
      </c>
    </row>
    <row r="869" spans="1:2" x14ac:dyDescent="0.2">
      <c r="A869" t="s">
        <v>2727</v>
      </c>
      <c r="B869">
        <v>1</v>
      </c>
    </row>
    <row r="870" spans="1:2" x14ac:dyDescent="0.2">
      <c r="A870" t="s">
        <v>2737</v>
      </c>
      <c r="B870">
        <v>5000</v>
      </c>
    </row>
    <row r="871" spans="1:2" x14ac:dyDescent="0.2">
      <c r="A871" t="s">
        <v>2738</v>
      </c>
      <c r="B871">
        <v>5000</v>
      </c>
    </row>
    <row r="872" spans="1:2" x14ac:dyDescent="0.2">
      <c r="A872" t="s">
        <v>2516</v>
      </c>
      <c r="B872">
        <v>2</v>
      </c>
    </row>
    <row r="873" spans="1:2" x14ac:dyDescent="0.2">
      <c r="A873" t="s">
        <v>2517</v>
      </c>
      <c r="B873">
        <v>0</v>
      </c>
    </row>
    <row r="874" spans="1:2" x14ac:dyDescent="0.2">
      <c r="A874" t="s">
        <v>2522</v>
      </c>
      <c r="B874">
        <v>0</v>
      </c>
    </row>
    <row r="875" spans="1:2" x14ac:dyDescent="0.2">
      <c r="A875" t="s">
        <v>2523</v>
      </c>
      <c r="B875">
        <v>0</v>
      </c>
    </row>
    <row r="876" spans="1:2" x14ac:dyDescent="0.2">
      <c r="A876" t="s">
        <v>2524</v>
      </c>
      <c r="B876">
        <v>0</v>
      </c>
    </row>
    <row r="877" spans="1:2" x14ac:dyDescent="0.2">
      <c r="A877" t="s">
        <v>2525</v>
      </c>
      <c r="B877">
        <v>0</v>
      </c>
    </row>
    <row r="878" spans="1:2" x14ac:dyDescent="0.2">
      <c r="A878" t="s">
        <v>2526</v>
      </c>
      <c r="B878">
        <v>0</v>
      </c>
    </row>
    <row r="879" spans="1:2" x14ac:dyDescent="0.2">
      <c r="A879" t="s">
        <v>2527</v>
      </c>
      <c r="B879">
        <v>0</v>
      </c>
    </row>
    <row r="880" spans="1:2" x14ac:dyDescent="0.2">
      <c r="A880" t="s">
        <v>2528</v>
      </c>
      <c r="B880">
        <v>0</v>
      </c>
    </row>
    <row r="881" spans="1:2" x14ac:dyDescent="0.2">
      <c r="A881" t="s">
        <v>2529</v>
      </c>
      <c r="B881">
        <v>0</v>
      </c>
    </row>
    <row r="882" spans="1:2" x14ac:dyDescent="0.2">
      <c r="A882" t="s">
        <v>2518</v>
      </c>
      <c r="B882" t="b">
        <v>0</v>
      </c>
    </row>
    <row r="883" spans="1:2" x14ac:dyDescent="0.2">
      <c r="A883" t="s">
        <v>2519</v>
      </c>
      <c r="B883" t="b">
        <v>0</v>
      </c>
    </row>
    <row r="884" spans="1:2" x14ac:dyDescent="0.2">
      <c r="A884" t="s">
        <v>2520</v>
      </c>
      <c r="B884" t="b">
        <v>0</v>
      </c>
    </row>
    <row r="885" spans="1:2" x14ac:dyDescent="0.2">
      <c r="A885" t="s">
        <v>2521</v>
      </c>
      <c r="B885" t="b">
        <v>0</v>
      </c>
    </row>
    <row r="886" spans="1:2" x14ac:dyDescent="0.2">
      <c r="A886" t="s">
        <v>2739</v>
      </c>
      <c r="B886">
        <v>7</v>
      </c>
    </row>
    <row r="887" spans="1:2" x14ac:dyDescent="0.2">
      <c r="A887" t="s">
        <v>2741</v>
      </c>
      <c r="B887" t="b">
        <v>0</v>
      </c>
    </row>
    <row r="888" spans="1:2" x14ac:dyDescent="0.2">
      <c r="A888" t="s">
        <v>2742</v>
      </c>
      <c r="B888" t="b">
        <v>0</v>
      </c>
    </row>
    <row r="889" spans="1:2" x14ac:dyDescent="0.2">
      <c r="A889" t="s">
        <v>2743</v>
      </c>
      <c r="B889" t="b">
        <v>0</v>
      </c>
    </row>
    <row r="890" spans="1:2" x14ac:dyDescent="0.2">
      <c r="A890" t="s">
        <v>2744</v>
      </c>
      <c r="B890" t="b">
        <v>0</v>
      </c>
    </row>
    <row r="891" spans="1:2" x14ac:dyDescent="0.2">
      <c r="A891" t="s">
        <v>2745</v>
      </c>
      <c r="B891" t="b">
        <v>0</v>
      </c>
    </row>
    <row r="892" spans="1:2" x14ac:dyDescent="0.2">
      <c r="A892" t="s">
        <v>2746</v>
      </c>
      <c r="B892" t="b">
        <v>0</v>
      </c>
    </row>
    <row r="893" spans="1:2" x14ac:dyDescent="0.2">
      <c r="A893" t="s">
        <v>2747</v>
      </c>
      <c r="B893" t="b">
        <v>0</v>
      </c>
    </row>
    <row r="894" spans="1:2" x14ac:dyDescent="0.2">
      <c r="A894" t="s">
        <v>2748</v>
      </c>
      <c r="B894" t="b">
        <v>0</v>
      </c>
    </row>
    <row r="895" spans="1:2" x14ac:dyDescent="0.2">
      <c r="A895" t="s">
        <v>2749</v>
      </c>
      <c r="B895" t="b">
        <v>0</v>
      </c>
    </row>
    <row r="896" spans="1:2" x14ac:dyDescent="0.2">
      <c r="A896" t="s">
        <v>2750</v>
      </c>
      <c r="B896" t="b">
        <v>0</v>
      </c>
    </row>
    <row r="897" spans="1:2" x14ac:dyDescent="0.2">
      <c r="A897" t="s">
        <v>2751</v>
      </c>
      <c r="B897" t="b">
        <v>0</v>
      </c>
    </row>
    <row r="898" spans="1:2" x14ac:dyDescent="0.2">
      <c r="A898" t="s">
        <v>2752</v>
      </c>
      <c r="B898" t="b">
        <v>0</v>
      </c>
    </row>
    <row r="899" spans="1:2" x14ac:dyDescent="0.2">
      <c r="A899" t="s">
        <v>2753</v>
      </c>
      <c r="B899" t="b">
        <v>0</v>
      </c>
    </row>
    <row r="900" spans="1:2" x14ac:dyDescent="0.2">
      <c r="A900" t="s">
        <v>2754</v>
      </c>
      <c r="B900" t="b">
        <v>0</v>
      </c>
    </row>
    <row r="901" spans="1:2" x14ac:dyDescent="0.2">
      <c r="A901" t="s">
        <v>2755</v>
      </c>
      <c r="B901" t="b">
        <v>0</v>
      </c>
    </row>
    <row r="902" spans="1:2" x14ac:dyDescent="0.2">
      <c r="A902" t="s">
        <v>2756</v>
      </c>
      <c r="B902" t="b">
        <v>0</v>
      </c>
    </row>
    <row r="903" spans="1:2" x14ac:dyDescent="0.2">
      <c r="A903" t="s">
        <v>2757</v>
      </c>
      <c r="B903" t="b">
        <v>0</v>
      </c>
    </row>
    <row r="904" spans="1:2" x14ac:dyDescent="0.2">
      <c r="A904" t="s">
        <v>2758</v>
      </c>
      <c r="B904" t="b">
        <v>0</v>
      </c>
    </row>
    <row r="905" spans="1:2" x14ac:dyDescent="0.2">
      <c r="A905" t="s">
        <v>2759</v>
      </c>
      <c r="B905" t="b">
        <v>0</v>
      </c>
    </row>
    <row r="906" spans="1:2" x14ac:dyDescent="0.2">
      <c r="A906" t="s">
        <v>2760</v>
      </c>
      <c r="B906" t="b">
        <v>0</v>
      </c>
    </row>
    <row r="907" spans="1:2" x14ac:dyDescent="0.2">
      <c r="A907" t="s">
        <v>2761</v>
      </c>
      <c r="B907" t="b">
        <v>0</v>
      </c>
    </row>
    <row r="908" spans="1:2" x14ac:dyDescent="0.2">
      <c r="A908" t="s">
        <v>2762</v>
      </c>
      <c r="B908" t="b">
        <v>0</v>
      </c>
    </row>
    <row r="909" spans="1:2" x14ac:dyDescent="0.2">
      <c r="A909" t="s">
        <v>2763</v>
      </c>
      <c r="B909" t="b">
        <v>0</v>
      </c>
    </row>
    <row r="910" spans="1:2" x14ac:dyDescent="0.2">
      <c r="A910" t="s">
        <v>2764</v>
      </c>
      <c r="B910" t="b">
        <v>0</v>
      </c>
    </row>
    <row r="911" spans="1:2" x14ac:dyDescent="0.2">
      <c r="A911" t="s">
        <v>2765</v>
      </c>
      <c r="B911" t="b">
        <v>0</v>
      </c>
    </row>
    <row r="912" spans="1:2" x14ac:dyDescent="0.2">
      <c r="A912" t="s">
        <v>2766</v>
      </c>
      <c r="B912" t="b">
        <v>0</v>
      </c>
    </row>
    <row r="913" spans="1:2" x14ac:dyDescent="0.2">
      <c r="A913" t="s">
        <v>2767</v>
      </c>
      <c r="B913" t="b">
        <v>0</v>
      </c>
    </row>
    <row r="914" spans="1:2" x14ac:dyDescent="0.2">
      <c r="A914" t="s">
        <v>2768</v>
      </c>
      <c r="B914" t="b">
        <v>0</v>
      </c>
    </row>
    <row r="915" spans="1:2" x14ac:dyDescent="0.2">
      <c r="A915" t="s">
        <v>2769</v>
      </c>
      <c r="B915" t="b">
        <v>0</v>
      </c>
    </row>
    <row r="916" spans="1:2" x14ac:dyDescent="0.2">
      <c r="A916" t="s">
        <v>2770</v>
      </c>
      <c r="B916" t="b">
        <v>0</v>
      </c>
    </row>
    <row r="917" spans="1:2" x14ac:dyDescent="0.2">
      <c r="A917" t="s">
        <v>2771</v>
      </c>
      <c r="B917" t="b">
        <v>0</v>
      </c>
    </row>
    <row r="918" spans="1:2" x14ac:dyDescent="0.2">
      <c r="A918" t="s">
        <v>2772</v>
      </c>
      <c r="B918" t="b">
        <v>0</v>
      </c>
    </row>
    <row r="919" spans="1:2" x14ac:dyDescent="0.2">
      <c r="A919" t="s">
        <v>2773</v>
      </c>
      <c r="B919" t="b">
        <v>0</v>
      </c>
    </row>
    <row r="920" spans="1:2" x14ac:dyDescent="0.2">
      <c r="A920" t="s">
        <v>2774</v>
      </c>
      <c r="B920" t="b">
        <v>0</v>
      </c>
    </row>
    <row r="921" spans="1:2" x14ac:dyDescent="0.2">
      <c r="A921" t="s">
        <v>2775</v>
      </c>
      <c r="B921" t="b">
        <v>0</v>
      </c>
    </row>
    <row r="922" spans="1:2" x14ac:dyDescent="0.2">
      <c r="A922" t="s">
        <v>2776</v>
      </c>
      <c r="B922" t="b">
        <v>0</v>
      </c>
    </row>
    <row r="923" spans="1:2" x14ac:dyDescent="0.2">
      <c r="A923" t="s">
        <v>2777</v>
      </c>
      <c r="B923" t="b">
        <v>0</v>
      </c>
    </row>
    <row r="924" spans="1:2" x14ac:dyDescent="0.2">
      <c r="A924" t="s">
        <v>2778</v>
      </c>
      <c r="B924" t="b">
        <v>0</v>
      </c>
    </row>
    <row r="925" spans="1:2" x14ac:dyDescent="0.2">
      <c r="A925" t="s">
        <v>2779</v>
      </c>
      <c r="B925" t="b">
        <v>0</v>
      </c>
    </row>
    <row r="926" spans="1:2" x14ac:dyDescent="0.2">
      <c r="A926" t="s">
        <v>2780</v>
      </c>
      <c r="B926" t="b">
        <v>0</v>
      </c>
    </row>
    <row r="927" spans="1:2" x14ac:dyDescent="0.2">
      <c r="A927" t="s">
        <v>2781</v>
      </c>
      <c r="B927" t="b">
        <v>0</v>
      </c>
    </row>
    <row r="928" spans="1:2" x14ac:dyDescent="0.2">
      <c r="A928" t="s">
        <v>2782</v>
      </c>
      <c r="B928" t="b">
        <v>0</v>
      </c>
    </row>
    <row r="929" spans="1:2" x14ac:dyDescent="0.2">
      <c r="A929" t="s">
        <v>2783</v>
      </c>
      <c r="B929" t="b">
        <v>0</v>
      </c>
    </row>
    <row r="930" spans="1:2" x14ac:dyDescent="0.2">
      <c r="A930" t="s">
        <v>2784</v>
      </c>
      <c r="B930" t="b">
        <v>0</v>
      </c>
    </row>
    <row r="931" spans="1:2" x14ac:dyDescent="0.2">
      <c r="A931" t="s">
        <v>2785</v>
      </c>
      <c r="B931" t="b">
        <v>0</v>
      </c>
    </row>
    <row r="932" spans="1:2" x14ac:dyDescent="0.2">
      <c r="A932" t="s">
        <v>2786</v>
      </c>
      <c r="B932" t="b">
        <v>0</v>
      </c>
    </row>
    <row r="933" spans="1:2" x14ac:dyDescent="0.2">
      <c r="A933" t="s">
        <v>2787</v>
      </c>
      <c r="B933" t="b">
        <v>0</v>
      </c>
    </row>
    <row r="934" spans="1:2" x14ac:dyDescent="0.2">
      <c r="A934" t="s">
        <v>2788</v>
      </c>
      <c r="B934" t="b">
        <v>0</v>
      </c>
    </row>
    <row r="935" spans="1:2" x14ac:dyDescent="0.2">
      <c r="A935" t="s">
        <v>2789</v>
      </c>
      <c r="B935" t="b">
        <v>0</v>
      </c>
    </row>
    <row r="936" spans="1:2" x14ac:dyDescent="0.2">
      <c r="A936" t="s">
        <v>2790</v>
      </c>
      <c r="B936" t="b">
        <v>0</v>
      </c>
    </row>
    <row r="937" spans="1:2" x14ac:dyDescent="0.2">
      <c r="A937" t="s">
        <v>2791</v>
      </c>
      <c r="B937" t="b">
        <v>0</v>
      </c>
    </row>
    <row r="938" spans="1:2" x14ac:dyDescent="0.2">
      <c r="A938" t="s">
        <v>2792</v>
      </c>
      <c r="B938" t="b">
        <v>0</v>
      </c>
    </row>
    <row r="939" spans="1:2" x14ac:dyDescent="0.2">
      <c r="A939" t="s">
        <v>2793</v>
      </c>
      <c r="B939" t="b">
        <v>0</v>
      </c>
    </row>
    <row r="940" spans="1:2" x14ac:dyDescent="0.2">
      <c r="A940" t="s">
        <v>2794</v>
      </c>
      <c r="B940" t="b">
        <v>0</v>
      </c>
    </row>
    <row r="941" spans="1:2" x14ac:dyDescent="0.2">
      <c r="A941" t="s">
        <v>2795</v>
      </c>
      <c r="B941" t="b">
        <v>0</v>
      </c>
    </row>
    <row r="942" spans="1:2" x14ac:dyDescent="0.2">
      <c r="A942" t="s">
        <v>2796</v>
      </c>
      <c r="B942" t="b">
        <v>0</v>
      </c>
    </row>
    <row r="943" spans="1:2" x14ac:dyDescent="0.2">
      <c r="A943" t="s">
        <v>2797</v>
      </c>
      <c r="B943" t="b">
        <v>0</v>
      </c>
    </row>
    <row r="944" spans="1:2" x14ac:dyDescent="0.2">
      <c r="A944" t="s">
        <v>2798</v>
      </c>
      <c r="B944" t="b">
        <v>0</v>
      </c>
    </row>
    <row r="945" spans="1:2" x14ac:dyDescent="0.2">
      <c r="A945" t="s">
        <v>2799</v>
      </c>
      <c r="B945" t="b">
        <v>0</v>
      </c>
    </row>
    <row r="946" spans="1:2" x14ac:dyDescent="0.2">
      <c r="A946" t="s">
        <v>2800</v>
      </c>
      <c r="B946" t="b">
        <v>0</v>
      </c>
    </row>
    <row r="947" spans="1:2" x14ac:dyDescent="0.2">
      <c r="A947" t="s">
        <v>2801</v>
      </c>
      <c r="B947" t="b">
        <v>0</v>
      </c>
    </row>
    <row r="948" spans="1:2" x14ac:dyDescent="0.2">
      <c r="A948" t="s">
        <v>2802</v>
      </c>
      <c r="B948" t="b">
        <v>0</v>
      </c>
    </row>
    <row r="949" spans="1:2" x14ac:dyDescent="0.2">
      <c r="A949" t="s">
        <v>2803</v>
      </c>
      <c r="B949" t="b">
        <v>0</v>
      </c>
    </row>
    <row r="950" spans="1:2" x14ac:dyDescent="0.2">
      <c r="A950" t="s">
        <v>2804</v>
      </c>
      <c r="B950" t="b">
        <v>0</v>
      </c>
    </row>
    <row r="951" spans="1:2" x14ac:dyDescent="0.2">
      <c r="A951" t="s">
        <v>2805</v>
      </c>
      <c r="B951" t="b">
        <v>0</v>
      </c>
    </row>
    <row r="952" spans="1:2" x14ac:dyDescent="0.2">
      <c r="A952" t="s">
        <v>2806</v>
      </c>
      <c r="B952" t="b">
        <v>0</v>
      </c>
    </row>
    <row r="953" spans="1:2" x14ac:dyDescent="0.2">
      <c r="A953" t="s">
        <v>2807</v>
      </c>
      <c r="B953" t="b">
        <v>0</v>
      </c>
    </row>
    <row r="954" spans="1:2" x14ac:dyDescent="0.2">
      <c r="A954" t="s">
        <v>2808</v>
      </c>
      <c r="B954" t="b">
        <v>0</v>
      </c>
    </row>
    <row r="955" spans="1:2" x14ac:dyDescent="0.2">
      <c r="A955" t="s">
        <v>2809</v>
      </c>
      <c r="B955" t="b">
        <v>0</v>
      </c>
    </row>
    <row r="956" spans="1:2" x14ac:dyDescent="0.2">
      <c r="A956" t="s">
        <v>2810</v>
      </c>
      <c r="B956" t="b">
        <v>0</v>
      </c>
    </row>
    <row r="957" spans="1:2" x14ac:dyDescent="0.2">
      <c r="A957" t="s">
        <v>2811</v>
      </c>
      <c r="B957" t="b">
        <v>0</v>
      </c>
    </row>
    <row r="958" spans="1:2" x14ac:dyDescent="0.2">
      <c r="A958" t="s">
        <v>2812</v>
      </c>
      <c r="B958" t="b">
        <v>0</v>
      </c>
    </row>
    <row r="959" spans="1:2" x14ac:dyDescent="0.2">
      <c r="A959" t="s">
        <v>2813</v>
      </c>
      <c r="B959" t="b">
        <v>0</v>
      </c>
    </row>
    <row r="960" spans="1:2" x14ac:dyDescent="0.2">
      <c r="A960" t="s">
        <v>2814</v>
      </c>
      <c r="B960" t="b">
        <v>0</v>
      </c>
    </row>
    <row r="961" spans="1:2" x14ac:dyDescent="0.2">
      <c r="A961" t="s">
        <v>2815</v>
      </c>
      <c r="B961" t="b">
        <v>0</v>
      </c>
    </row>
    <row r="962" spans="1:2" x14ac:dyDescent="0.2">
      <c r="A962" t="s">
        <v>2816</v>
      </c>
      <c r="B962" t="b">
        <v>0</v>
      </c>
    </row>
    <row r="963" spans="1:2" x14ac:dyDescent="0.2">
      <c r="A963" t="s">
        <v>2817</v>
      </c>
      <c r="B963" t="b">
        <v>0</v>
      </c>
    </row>
    <row r="964" spans="1:2" x14ac:dyDescent="0.2">
      <c r="A964" t="s">
        <v>2818</v>
      </c>
      <c r="B964" t="b">
        <v>0</v>
      </c>
    </row>
    <row r="965" spans="1:2" x14ac:dyDescent="0.2">
      <c r="A965" t="s">
        <v>2819</v>
      </c>
      <c r="B965" t="b">
        <v>0</v>
      </c>
    </row>
    <row r="966" spans="1:2" x14ac:dyDescent="0.2">
      <c r="A966" t="s">
        <v>2820</v>
      </c>
      <c r="B966" t="b">
        <v>0</v>
      </c>
    </row>
    <row r="967" spans="1:2" x14ac:dyDescent="0.2">
      <c r="A967" t="s">
        <v>2821</v>
      </c>
      <c r="B967" t="b">
        <v>0</v>
      </c>
    </row>
    <row r="968" spans="1:2" x14ac:dyDescent="0.2">
      <c r="A968" t="s">
        <v>2822</v>
      </c>
      <c r="B968" t="b">
        <v>0</v>
      </c>
    </row>
    <row r="969" spans="1:2" x14ac:dyDescent="0.2">
      <c r="A969" t="s">
        <v>2823</v>
      </c>
      <c r="B969" t="b">
        <v>0</v>
      </c>
    </row>
    <row r="970" spans="1:2" x14ac:dyDescent="0.2">
      <c r="A970" t="s">
        <v>2824</v>
      </c>
      <c r="B970" t="b">
        <v>0</v>
      </c>
    </row>
    <row r="971" spans="1:2" x14ac:dyDescent="0.2">
      <c r="A971" t="s">
        <v>2825</v>
      </c>
      <c r="B971" t="b">
        <v>0</v>
      </c>
    </row>
    <row r="972" spans="1:2" x14ac:dyDescent="0.2">
      <c r="A972" t="s">
        <v>2826</v>
      </c>
      <c r="B972" t="b">
        <v>0</v>
      </c>
    </row>
    <row r="973" spans="1:2" x14ac:dyDescent="0.2">
      <c r="A973" t="s">
        <v>2827</v>
      </c>
      <c r="B973" t="b">
        <v>0</v>
      </c>
    </row>
    <row r="974" spans="1:2" x14ac:dyDescent="0.2">
      <c r="A974" t="s">
        <v>2828</v>
      </c>
      <c r="B974" t="b">
        <v>0</v>
      </c>
    </row>
    <row r="975" spans="1:2" x14ac:dyDescent="0.2">
      <c r="A975" t="s">
        <v>2829</v>
      </c>
      <c r="B975" t="b">
        <v>0</v>
      </c>
    </row>
    <row r="976" spans="1:2" x14ac:dyDescent="0.2">
      <c r="A976" t="s">
        <v>2830</v>
      </c>
      <c r="B976" t="b">
        <v>0</v>
      </c>
    </row>
    <row r="977" spans="1:2" x14ac:dyDescent="0.2">
      <c r="A977" t="s">
        <v>2831</v>
      </c>
      <c r="B977" t="b">
        <v>0</v>
      </c>
    </row>
    <row r="978" spans="1:2" x14ac:dyDescent="0.2">
      <c r="A978" t="s">
        <v>2832</v>
      </c>
      <c r="B978" t="b">
        <v>0</v>
      </c>
    </row>
    <row r="979" spans="1:2" x14ac:dyDescent="0.2">
      <c r="A979" t="s">
        <v>2833</v>
      </c>
      <c r="B979" t="b">
        <v>0</v>
      </c>
    </row>
    <row r="980" spans="1:2" x14ac:dyDescent="0.2">
      <c r="A980" t="s">
        <v>2834</v>
      </c>
      <c r="B980" t="b">
        <v>0</v>
      </c>
    </row>
    <row r="981" spans="1:2" x14ac:dyDescent="0.2">
      <c r="A981" t="s">
        <v>2835</v>
      </c>
      <c r="B981" t="b">
        <v>0</v>
      </c>
    </row>
    <row r="982" spans="1:2" x14ac:dyDescent="0.2">
      <c r="A982" t="s">
        <v>2836</v>
      </c>
      <c r="B982" t="b">
        <v>0</v>
      </c>
    </row>
    <row r="983" spans="1:2" x14ac:dyDescent="0.2">
      <c r="A983" t="s">
        <v>2837</v>
      </c>
      <c r="B983" t="b">
        <v>0</v>
      </c>
    </row>
    <row r="984" spans="1:2" x14ac:dyDescent="0.2">
      <c r="A984" t="s">
        <v>2838</v>
      </c>
      <c r="B984" t="b">
        <v>0</v>
      </c>
    </row>
    <row r="985" spans="1:2" x14ac:dyDescent="0.2">
      <c r="A985" t="s">
        <v>2839</v>
      </c>
      <c r="B985" t="b">
        <v>0</v>
      </c>
    </row>
    <row r="986" spans="1:2" x14ac:dyDescent="0.2">
      <c r="A986" t="s">
        <v>2840</v>
      </c>
      <c r="B986" t="b">
        <v>0</v>
      </c>
    </row>
    <row r="987" spans="1:2" x14ac:dyDescent="0.2">
      <c r="A987" t="s">
        <v>2841</v>
      </c>
      <c r="B987" t="b">
        <v>0</v>
      </c>
    </row>
    <row r="988" spans="1:2" x14ac:dyDescent="0.2">
      <c r="A988" t="s">
        <v>2842</v>
      </c>
      <c r="B988" t="b">
        <v>0</v>
      </c>
    </row>
    <row r="989" spans="1:2" x14ac:dyDescent="0.2">
      <c r="A989" t="s">
        <v>2843</v>
      </c>
      <c r="B989" t="b">
        <v>0</v>
      </c>
    </row>
    <row r="990" spans="1:2" x14ac:dyDescent="0.2">
      <c r="A990" t="s">
        <v>2844</v>
      </c>
      <c r="B990" t="b">
        <v>0</v>
      </c>
    </row>
    <row r="991" spans="1:2" x14ac:dyDescent="0.2">
      <c r="A991" t="s">
        <v>2845</v>
      </c>
      <c r="B991" t="b">
        <v>0</v>
      </c>
    </row>
    <row r="992" spans="1:2" x14ac:dyDescent="0.2">
      <c r="A992" t="s">
        <v>2846</v>
      </c>
      <c r="B992" t="b">
        <v>0</v>
      </c>
    </row>
    <row r="993" spans="1:2" x14ac:dyDescent="0.2">
      <c r="A993" t="s">
        <v>2847</v>
      </c>
      <c r="B993" t="b">
        <v>0</v>
      </c>
    </row>
    <row r="994" spans="1:2" x14ac:dyDescent="0.2">
      <c r="A994" t="s">
        <v>2848</v>
      </c>
      <c r="B994" t="b">
        <v>0</v>
      </c>
    </row>
    <row r="995" spans="1:2" x14ac:dyDescent="0.2">
      <c r="A995" t="s">
        <v>2849</v>
      </c>
      <c r="B995" t="b">
        <v>0</v>
      </c>
    </row>
    <row r="996" spans="1:2" x14ac:dyDescent="0.2">
      <c r="A996" t="s">
        <v>2850</v>
      </c>
      <c r="B996" t="b">
        <v>0</v>
      </c>
    </row>
    <row r="997" spans="1:2" x14ac:dyDescent="0.2">
      <c r="A997" t="s">
        <v>2851</v>
      </c>
      <c r="B997" t="b">
        <v>0</v>
      </c>
    </row>
    <row r="998" spans="1:2" x14ac:dyDescent="0.2">
      <c r="A998" t="s">
        <v>2852</v>
      </c>
      <c r="B998" t="b">
        <v>0</v>
      </c>
    </row>
    <row r="999" spans="1:2" x14ac:dyDescent="0.2">
      <c r="A999" t="s">
        <v>2853</v>
      </c>
      <c r="B999" t="b">
        <v>0</v>
      </c>
    </row>
    <row r="1000" spans="1:2" x14ac:dyDescent="0.2">
      <c r="A1000" t="s">
        <v>2854</v>
      </c>
      <c r="B1000" t="b">
        <v>0</v>
      </c>
    </row>
    <row r="1001" spans="1:2" x14ac:dyDescent="0.2">
      <c r="A1001" t="s">
        <v>2855</v>
      </c>
      <c r="B1001" t="b">
        <v>0</v>
      </c>
    </row>
    <row r="1002" spans="1:2" x14ac:dyDescent="0.2">
      <c r="A1002" t="s">
        <v>2856</v>
      </c>
      <c r="B1002" t="b">
        <v>0</v>
      </c>
    </row>
    <row r="1003" spans="1:2" x14ac:dyDescent="0.2">
      <c r="A1003" t="s">
        <v>2857</v>
      </c>
      <c r="B1003" t="b">
        <v>0</v>
      </c>
    </row>
    <row r="1004" spans="1:2" x14ac:dyDescent="0.2">
      <c r="A1004" t="s">
        <v>2858</v>
      </c>
      <c r="B1004" t="b">
        <v>0</v>
      </c>
    </row>
    <row r="1005" spans="1:2" x14ac:dyDescent="0.2">
      <c r="A1005" t="s">
        <v>2859</v>
      </c>
      <c r="B1005" t="b">
        <v>0</v>
      </c>
    </row>
    <row r="1006" spans="1:2" x14ac:dyDescent="0.2">
      <c r="A1006" t="s">
        <v>2860</v>
      </c>
      <c r="B1006" t="b">
        <v>0</v>
      </c>
    </row>
    <row r="1007" spans="1:2" x14ac:dyDescent="0.2">
      <c r="A1007" t="s">
        <v>2861</v>
      </c>
      <c r="B1007" t="b">
        <v>0</v>
      </c>
    </row>
    <row r="1008" spans="1:2" x14ac:dyDescent="0.2">
      <c r="A1008" t="s">
        <v>2862</v>
      </c>
      <c r="B1008" t="b">
        <v>0</v>
      </c>
    </row>
    <row r="1009" spans="1:2" x14ac:dyDescent="0.2">
      <c r="A1009" t="s">
        <v>2863</v>
      </c>
      <c r="B1009" t="b">
        <v>0</v>
      </c>
    </row>
    <row r="1010" spans="1:2" x14ac:dyDescent="0.2">
      <c r="A1010" t="s">
        <v>2864</v>
      </c>
      <c r="B1010" t="b">
        <v>0</v>
      </c>
    </row>
    <row r="1011" spans="1:2" x14ac:dyDescent="0.2">
      <c r="A1011" t="s">
        <v>2865</v>
      </c>
      <c r="B1011" t="b">
        <v>0</v>
      </c>
    </row>
    <row r="1012" spans="1:2" x14ac:dyDescent="0.2">
      <c r="A1012" t="s">
        <v>2866</v>
      </c>
      <c r="B1012" t="b">
        <v>0</v>
      </c>
    </row>
    <row r="1013" spans="1:2" x14ac:dyDescent="0.2">
      <c r="A1013" t="s">
        <v>2867</v>
      </c>
      <c r="B1013" t="b">
        <v>0</v>
      </c>
    </row>
    <row r="1014" spans="1:2" x14ac:dyDescent="0.2">
      <c r="A1014" t="s">
        <v>2868</v>
      </c>
      <c r="B1014" t="b">
        <v>0</v>
      </c>
    </row>
    <row r="1015" spans="1:2" x14ac:dyDescent="0.2">
      <c r="A1015" t="s">
        <v>2869</v>
      </c>
      <c r="B1015" t="b">
        <v>0</v>
      </c>
    </row>
    <row r="1016" spans="1:2" x14ac:dyDescent="0.2">
      <c r="A1016" t="s">
        <v>2870</v>
      </c>
      <c r="B1016" t="b">
        <v>0</v>
      </c>
    </row>
    <row r="1017" spans="1:2" x14ac:dyDescent="0.2">
      <c r="A1017" t="s">
        <v>2871</v>
      </c>
      <c r="B1017" t="b">
        <v>0</v>
      </c>
    </row>
    <row r="1018" spans="1:2" x14ac:dyDescent="0.2">
      <c r="A1018" t="s">
        <v>2872</v>
      </c>
      <c r="B1018" t="b">
        <v>0</v>
      </c>
    </row>
    <row r="1019" spans="1:2" x14ac:dyDescent="0.2">
      <c r="A1019" t="s">
        <v>2873</v>
      </c>
      <c r="B1019" t="b">
        <v>0</v>
      </c>
    </row>
    <row r="1020" spans="1:2" x14ac:dyDescent="0.2">
      <c r="A1020" t="s">
        <v>2874</v>
      </c>
      <c r="B1020" t="b">
        <v>0</v>
      </c>
    </row>
    <row r="1021" spans="1:2" x14ac:dyDescent="0.2">
      <c r="A1021" t="s">
        <v>2875</v>
      </c>
      <c r="B1021" t="b">
        <v>0</v>
      </c>
    </row>
    <row r="1022" spans="1:2" x14ac:dyDescent="0.2">
      <c r="A1022" t="s">
        <v>2876</v>
      </c>
      <c r="B1022" t="b">
        <v>0</v>
      </c>
    </row>
    <row r="1023" spans="1:2" x14ac:dyDescent="0.2">
      <c r="A1023" t="s">
        <v>2877</v>
      </c>
      <c r="B1023" t="b">
        <v>0</v>
      </c>
    </row>
    <row r="1024" spans="1:2" x14ac:dyDescent="0.2">
      <c r="A1024" t="s">
        <v>2878</v>
      </c>
      <c r="B1024" t="b">
        <v>0</v>
      </c>
    </row>
    <row r="1025" spans="1:2" x14ac:dyDescent="0.2">
      <c r="A1025" t="s">
        <v>2879</v>
      </c>
      <c r="B1025" t="b">
        <v>0</v>
      </c>
    </row>
    <row r="1026" spans="1:2" x14ac:dyDescent="0.2">
      <c r="A1026" t="s">
        <v>2880</v>
      </c>
      <c r="B1026" t="b">
        <v>0</v>
      </c>
    </row>
    <row r="1027" spans="1:2" x14ac:dyDescent="0.2">
      <c r="A1027" t="s">
        <v>2881</v>
      </c>
      <c r="B1027" t="b">
        <v>0</v>
      </c>
    </row>
    <row r="1028" spans="1:2" x14ac:dyDescent="0.2">
      <c r="A1028" t="s">
        <v>2882</v>
      </c>
      <c r="B1028" t="b">
        <v>0</v>
      </c>
    </row>
    <row r="1029" spans="1:2" x14ac:dyDescent="0.2">
      <c r="A1029" t="s">
        <v>2883</v>
      </c>
      <c r="B1029" t="b">
        <v>0</v>
      </c>
    </row>
    <row r="1030" spans="1:2" x14ac:dyDescent="0.2">
      <c r="A1030" t="s">
        <v>2884</v>
      </c>
      <c r="B1030" t="b">
        <v>0</v>
      </c>
    </row>
    <row r="1031" spans="1:2" x14ac:dyDescent="0.2">
      <c r="A1031" t="s">
        <v>2885</v>
      </c>
      <c r="B1031" t="b">
        <v>0</v>
      </c>
    </row>
    <row r="1032" spans="1:2" x14ac:dyDescent="0.2">
      <c r="A1032" t="s">
        <v>2886</v>
      </c>
      <c r="B1032" t="b">
        <v>0</v>
      </c>
    </row>
    <row r="1033" spans="1:2" x14ac:dyDescent="0.2">
      <c r="A1033" t="s">
        <v>2887</v>
      </c>
      <c r="B1033" t="b">
        <v>0</v>
      </c>
    </row>
    <row r="1034" spans="1:2" x14ac:dyDescent="0.2">
      <c r="A1034" t="s">
        <v>2888</v>
      </c>
      <c r="B1034" t="b">
        <v>0</v>
      </c>
    </row>
    <row r="1035" spans="1:2" x14ac:dyDescent="0.2">
      <c r="A1035" t="s">
        <v>2889</v>
      </c>
      <c r="B1035" t="b">
        <v>0</v>
      </c>
    </row>
    <row r="1036" spans="1:2" x14ac:dyDescent="0.2">
      <c r="A1036" t="s">
        <v>2890</v>
      </c>
      <c r="B1036" t="b">
        <v>0</v>
      </c>
    </row>
    <row r="1037" spans="1:2" x14ac:dyDescent="0.2">
      <c r="A1037" t="s">
        <v>2891</v>
      </c>
      <c r="B1037" t="b">
        <v>0</v>
      </c>
    </row>
    <row r="1038" spans="1:2" x14ac:dyDescent="0.2">
      <c r="A1038" t="s">
        <v>2892</v>
      </c>
      <c r="B1038" t="b">
        <v>0</v>
      </c>
    </row>
    <row r="1039" spans="1:2" x14ac:dyDescent="0.2">
      <c r="A1039" t="s">
        <v>2893</v>
      </c>
      <c r="B1039" t="b">
        <v>0</v>
      </c>
    </row>
    <row r="1040" spans="1:2" x14ac:dyDescent="0.2">
      <c r="A1040" t="s">
        <v>2894</v>
      </c>
      <c r="B1040" t="b">
        <v>0</v>
      </c>
    </row>
    <row r="1041" spans="1:2" x14ac:dyDescent="0.2">
      <c r="A1041" t="s">
        <v>2895</v>
      </c>
      <c r="B1041" t="b">
        <v>0</v>
      </c>
    </row>
    <row r="1042" spans="1:2" x14ac:dyDescent="0.2">
      <c r="A1042" t="s">
        <v>2896</v>
      </c>
      <c r="B1042" t="b">
        <v>0</v>
      </c>
    </row>
    <row r="1043" spans="1:2" x14ac:dyDescent="0.2">
      <c r="A1043" t="s">
        <v>2897</v>
      </c>
      <c r="B1043" t="b">
        <v>0</v>
      </c>
    </row>
    <row r="1044" spans="1:2" x14ac:dyDescent="0.2">
      <c r="A1044" t="s">
        <v>2898</v>
      </c>
      <c r="B1044" t="b">
        <v>0</v>
      </c>
    </row>
    <row r="1045" spans="1:2" x14ac:dyDescent="0.2">
      <c r="A1045" t="s">
        <v>2899</v>
      </c>
      <c r="B1045" t="b">
        <v>0</v>
      </c>
    </row>
    <row r="1046" spans="1:2" x14ac:dyDescent="0.2">
      <c r="A1046" t="s">
        <v>2900</v>
      </c>
      <c r="B1046" t="b">
        <v>0</v>
      </c>
    </row>
    <row r="1047" spans="1:2" x14ac:dyDescent="0.2">
      <c r="A1047" t="s">
        <v>2901</v>
      </c>
      <c r="B1047" t="b">
        <v>0</v>
      </c>
    </row>
    <row r="1048" spans="1:2" x14ac:dyDescent="0.2">
      <c r="A1048" t="s">
        <v>2902</v>
      </c>
      <c r="B1048" t="b">
        <v>0</v>
      </c>
    </row>
    <row r="1049" spans="1:2" x14ac:dyDescent="0.2">
      <c r="A1049" t="s">
        <v>2903</v>
      </c>
      <c r="B1049" t="b">
        <v>0</v>
      </c>
    </row>
    <row r="1050" spans="1:2" x14ac:dyDescent="0.2">
      <c r="A1050" t="s">
        <v>2904</v>
      </c>
      <c r="B1050" t="b">
        <v>0</v>
      </c>
    </row>
    <row r="1051" spans="1:2" x14ac:dyDescent="0.2">
      <c r="A1051" t="s">
        <v>2905</v>
      </c>
      <c r="B1051" t="b">
        <v>0</v>
      </c>
    </row>
    <row r="1052" spans="1:2" x14ac:dyDescent="0.2">
      <c r="A1052" t="s">
        <v>2906</v>
      </c>
      <c r="B1052" t="b">
        <v>0</v>
      </c>
    </row>
    <row r="1053" spans="1:2" x14ac:dyDescent="0.2">
      <c r="A1053" t="s">
        <v>2907</v>
      </c>
      <c r="B1053" t="b">
        <v>0</v>
      </c>
    </row>
    <row r="1054" spans="1:2" x14ac:dyDescent="0.2">
      <c r="A1054" t="s">
        <v>2908</v>
      </c>
      <c r="B1054" t="b">
        <v>0</v>
      </c>
    </row>
    <row r="1055" spans="1:2" x14ac:dyDescent="0.2">
      <c r="A1055" t="s">
        <v>2909</v>
      </c>
      <c r="B1055" t="b">
        <v>0</v>
      </c>
    </row>
    <row r="1056" spans="1:2" x14ac:dyDescent="0.2">
      <c r="A1056" t="s">
        <v>2910</v>
      </c>
      <c r="B1056" t="b">
        <v>0</v>
      </c>
    </row>
    <row r="1057" spans="1:2" x14ac:dyDescent="0.2">
      <c r="A1057" t="s">
        <v>2911</v>
      </c>
      <c r="B1057" t="b">
        <v>0</v>
      </c>
    </row>
    <row r="1058" spans="1:2" x14ac:dyDescent="0.2">
      <c r="A1058" t="s">
        <v>2912</v>
      </c>
      <c r="B1058" t="b">
        <v>0</v>
      </c>
    </row>
    <row r="1059" spans="1:2" x14ac:dyDescent="0.2">
      <c r="A1059" t="s">
        <v>2913</v>
      </c>
      <c r="B1059" t="b">
        <v>0</v>
      </c>
    </row>
    <row r="1060" spans="1:2" x14ac:dyDescent="0.2">
      <c r="A1060" t="s">
        <v>2914</v>
      </c>
      <c r="B1060" t="b">
        <v>0</v>
      </c>
    </row>
    <row r="1061" spans="1:2" x14ac:dyDescent="0.2">
      <c r="A1061" t="s">
        <v>2915</v>
      </c>
      <c r="B1061" t="b">
        <v>0</v>
      </c>
    </row>
    <row r="1062" spans="1:2" x14ac:dyDescent="0.2">
      <c r="A1062" t="s">
        <v>2916</v>
      </c>
      <c r="B1062" t="b">
        <v>0</v>
      </c>
    </row>
    <row r="1063" spans="1:2" x14ac:dyDescent="0.2">
      <c r="A1063" t="s">
        <v>2917</v>
      </c>
      <c r="B1063" t="b">
        <v>0</v>
      </c>
    </row>
    <row r="1064" spans="1:2" x14ac:dyDescent="0.2">
      <c r="A1064" t="s">
        <v>2918</v>
      </c>
      <c r="B1064" t="b">
        <v>0</v>
      </c>
    </row>
    <row r="1065" spans="1:2" x14ac:dyDescent="0.2">
      <c r="A1065" t="s">
        <v>2919</v>
      </c>
      <c r="B1065" t="b">
        <v>0</v>
      </c>
    </row>
    <row r="1066" spans="1:2" x14ac:dyDescent="0.2">
      <c r="A1066" t="s">
        <v>2920</v>
      </c>
      <c r="B1066" t="b">
        <v>0</v>
      </c>
    </row>
    <row r="1067" spans="1:2" x14ac:dyDescent="0.2">
      <c r="A1067" t="s">
        <v>2921</v>
      </c>
      <c r="B1067" t="b">
        <v>0</v>
      </c>
    </row>
    <row r="1068" spans="1:2" x14ac:dyDescent="0.2">
      <c r="A1068" t="s">
        <v>2922</v>
      </c>
      <c r="B1068" t="b">
        <v>0</v>
      </c>
    </row>
    <row r="1069" spans="1:2" x14ac:dyDescent="0.2">
      <c r="A1069" t="s">
        <v>2923</v>
      </c>
      <c r="B1069" t="b">
        <v>0</v>
      </c>
    </row>
    <row r="1070" spans="1:2" x14ac:dyDescent="0.2">
      <c r="A1070" t="s">
        <v>2924</v>
      </c>
      <c r="B1070" t="b">
        <v>0</v>
      </c>
    </row>
    <row r="1071" spans="1:2" x14ac:dyDescent="0.2">
      <c r="A1071" t="s">
        <v>2925</v>
      </c>
      <c r="B1071" t="b">
        <v>0</v>
      </c>
    </row>
    <row r="1072" spans="1:2" x14ac:dyDescent="0.2">
      <c r="A1072" t="s">
        <v>2926</v>
      </c>
      <c r="B1072" t="b">
        <v>0</v>
      </c>
    </row>
    <row r="1073" spans="1:2" x14ac:dyDescent="0.2">
      <c r="A1073" t="s">
        <v>2927</v>
      </c>
      <c r="B1073" t="b">
        <v>0</v>
      </c>
    </row>
    <row r="1074" spans="1:2" x14ac:dyDescent="0.2">
      <c r="A1074" t="s">
        <v>2928</v>
      </c>
      <c r="B1074" t="b">
        <v>0</v>
      </c>
    </row>
    <row r="1075" spans="1:2" x14ac:dyDescent="0.2">
      <c r="A1075" t="s">
        <v>2929</v>
      </c>
      <c r="B1075" t="b">
        <v>0</v>
      </c>
    </row>
    <row r="1076" spans="1:2" x14ac:dyDescent="0.2">
      <c r="A1076" t="s">
        <v>2930</v>
      </c>
      <c r="B1076" t="b">
        <v>0</v>
      </c>
    </row>
    <row r="1077" spans="1:2" x14ac:dyDescent="0.2">
      <c r="A1077" t="s">
        <v>2931</v>
      </c>
      <c r="B1077" t="b">
        <v>0</v>
      </c>
    </row>
    <row r="1078" spans="1:2" x14ac:dyDescent="0.2">
      <c r="A1078" t="s">
        <v>2932</v>
      </c>
      <c r="B1078" t="b">
        <v>0</v>
      </c>
    </row>
    <row r="1079" spans="1:2" x14ac:dyDescent="0.2">
      <c r="A1079" t="s">
        <v>2933</v>
      </c>
      <c r="B1079" t="b">
        <v>0</v>
      </c>
    </row>
    <row r="1080" spans="1:2" x14ac:dyDescent="0.2">
      <c r="A1080" t="s">
        <v>2934</v>
      </c>
      <c r="B1080" t="b">
        <v>0</v>
      </c>
    </row>
    <row r="1081" spans="1:2" x14ac:dyDescent="0.2">
      <c r="A1081" t="s">
        <v>2935</v>
      </c>
      <c r="B1081" t="b">
        <v>0</v>
      </c>
    </row>
    <row r="1082" spans="1:2" x14ac:dyDescent="0.2">
      <c r="A1082" t="s">
        <v>2936</v>
      </c>
      <c r="B1082" t="b">
        <v>0</v>
      </c>
    </row>
    <row r="1083" spans="1:2" x14ac:dyDescent="0.2">
      <c r="A1083" t="s">
        <v>2937</v>
      </c>
      <c r="B1083" t="b">
        <v>0</v>
      </c>
    </row>
    <row r="1084" spans="1:2" x14ac:dyDescent="0.2">
      <c r="A1084" t="s">
        <v>2938</v>
      </c>
      <c r="B1084" t="b">
        <v>0</v>
      </c>
    </row>
    <row r="1085" spans="1:2" x14ac:dyDescent="0.2">
      <c r="A1085" t="s">
        <v>2939</v>
      </c>
      <c r="B1085" t="b">
        <v>0</v>
      </c>
    </row>
    <row r="1086" spans="1:2" x14ac:dyDescent="0.2">
      <c r="A1086" t="s">
        <v>2940</v>
      </c>
      <c r="B1086" t="b">
        <v>0</v>
      </c>
    </row>
    <row r="1087" spans="1:2" x14ac:dyDescent="0.2">
      <c r="A1087" t="s">
        <v>2941</v>
      </c>
      <c r="B1087" t="b">
        <v>0</v>
      </c>
    </row>
    <row r="1088" spans="1:2" x14ac:dyDescent="0.2">
      <c r="A1088" t="s">
        <v>2942</v>
      </c>
      <c r="B1088" t="b">
        <v>0</v>
      </c>
    </row>
    <row r="1089" spans="1:2" x14ac:dyDescent="0.2">
      <c r="A1089" t="s">
        <v>2943</v>
      </c>
      <c r="B1089" t="b">
        <v>0</v>
      </c>
    </row>
    <row r="1090" spans="1:2" x14ac:dyDescent="0.2">
      <c r="A1090" t="s">
        <v>2944</v>
      </c>
      <c r="B1090" t="b">
        <v>0</v>
      </c>
    </row>
    <row r="1091" spans="1:2" x14ac:dyDescent="0.2">
      <c r="A1091" t="s">
        <v>2945</v>
      </c>
      <c r="B1091" t="b">
        <v>0</v>
      </c>
    </row>
    <row r="1092" spans="1:2" x14ac:dyDescent="0.2">
      <c r="A1092" t="s">
        <v>2946</v>
      </c>
      <c r="B1092" t="b">
        <v>0</v>
      </c>
    </row>
    <row r="1093" spans="1:2" x14ac:dyDescent="0.2">
      <c r="A1093" t="s">
        <v>2947</v>
      </c>
      <c r="B1093" t="b">
        <v>0</v>
      </c>
    </row>
    <row r="1094" spans="1:2" x14ac:dyDescent="0.2">
      <c r="A1094" t="s">
        <v>2948</v>
      </c>
      <c r="B1094" t="b">
        <v>0</v>
      </c>
    </row>
    <row r="1095" spans="1:2" x14ac:dyDescent="0.2">
      <c r="A1095" t="s">
        <v>2949</v>
      </c>
      <c r="B1095" t="b">
        <v>0</v>
      </c>
    </row>
    <row r="1096" spans="1:2" x14ac:dyDescent="0.2">
      <c r="A1096" t="s">
        <v>2950</v>
      </c>
      <c r="B1096" t="b">
        <v>0</v>
      </c>
    </row>
    <row r="1097" spans="1:2" x14ac:dyDescent="0.2">
      <c r="A1097" t="s">
        <v>2951</v>
      </c>
      <c r="B1097" t="b">
        <v>0</v>
      </c>
    </row>
    <row r="1098" spans="1:2" x14ac:dyDescent="0.2">
      <c r="A1098" t="s">
        <v>2952</v>
      </c>
      <c r="B1098" t="b">
        <v>0</v>
      </c>
    </row>
    <row r="1099" spans="1:2" x14ac:dyDescent="0.2">
      <c r="A1099" t="s">
        <v>2953</v>
      </c>
      <c r="B1099" t="b">
        <v>0</v>
      </c>
    </row>
    <row r="1100" spans="1:2" x14ac:dyDescent="0.2">
      <c r="A1100" t="s">
        <v>2954</v>
      </c>
      <c r="B1100" t="b">
        <v>0</v>
      </c>
    </row>
    <row r="1101" spans="1:2" x14ac:dyDescent="0.2">
      <c r="A1101" t="s">
        <v>2955</v>
      </c>
      <c r="B1101" t="b">
        <v>0</v>
      </c>
    </row>
    <row r="1102" spans="1:2" x14ac:dyDescent="0.2">
      <c r="A1102" t="s">
        <v>2956</v>
      </c>
      <c r="B1102" t="b">
        <v>0</v>
      </c>
    </row>
    <row r="1103" spans="1:2" x14ac:dyDescent="0.2">
      <c r="A1103" t="s">
        <v>2957</v>
      </c>
      <c r="B1103" t="b">
        <v>0</v>
      </c>
    </row>
    <row r="1104" spans="1:2" x14ac:dyDescent="0.2">
      <c r="A1104" t="s">
        <v>2958</v>
      </c>
      <c r="B1104" t="b">
        <v>0</v>
      </c>
    </row>
    <row r="1105" spans="1:2" x14ac:dyDescent="0.2">
      <c r="A1105" t="s">
        <v>2959</v>
      </c>
      <c r="B1105" t="b">
        <v>0</v>
      </c>
    </row>
    <row r="1106" spans="1:2" x14ac:dyDescent="0.2">
      <c r="A1106" t="s">
        <v>2960</v>
      </c>
      <c r="B1106" t="b">
        <v>0</v>
      </c>
    </row>
    <row r="1107" spans="1:2" x14ac:dyDescent="0.2">
      <c r="A1107" t="s">
        <v>2961</v>
      </c>
      <c r="B1107" t="b">
        <v>0</v>
      </c>
    </row>
    <row r="1108" spans="1:2" x14ac:dyDescent="0.2">
      <c r="A1108" t="s">
        <v>2962</v>
      </c>
      <c r="B1108" t="b">
        <v>0</v>
      </c>
    </row>
    <row r="1109" spans="1:2" x14ac:dyDescent="0.2">
      <c r="A1109" t="s">
        <v>2963</v>
      </c>
      <c r="B1109" t="b">
        <v>0</v>
      </c>
    </row>
    <row r="1110" spans="1:2" x14ac:dyDescent="0.2">
      <c r="A1110" t="s">
        <v>2964</v>
      </c>
      <c r="B1110" t="b">
        <v>0</v>
      </c>
    </row>
    <row r="1111" spans="1:2" x14ac:dyDescent="0.2">
      <c r="A1111" t="s">
        <v>2965</v>
      </c>
      <c r="B1111" t="b">
        <v>0</v>
      </c>
    </row>
    <row r="1112" spans="1:2" x14ac:dyDescent="0.2">
      <c r="A1112" t="s">
        <v>2966</v>
      </c>
      <c r="B1112" t="b">
        <v>0</v>
      </c>
    </row>
    <row r="1113" spans="1:2" x14ac:dyDescent="0.2">
      <c r="A1113" t="s">
        <v>2967</v>
      </c>
      <c r="B1113" t="b">
        <v>0</v>
      </c>
    </row>
    <row r="1114" spans="1:2" x14ac:dyDescent="0.2">
      <c r="A1114" t="s">
        <v>2968</v>
      </c>
      <c r="B1114" t="b">
        <v>0</v>
      </c>
    </row>
    <row r="1115" spans="1:2" x14ac:dyDescent="0.2">
      <c r="A1115" t="s">
        <v>2969</v>
      </c>
      <c r="B1115" t="b">
        <v>0</v>
      </c>
    </row>
    <row r="1116" spans="1:2" x14ac:dyDescent="0.2">
      <c r="A1116" t="s">
        <v>2970</v>
      </c>
      <c r="B1116" t="b">
        <v>0</v>
      </c>
    </row>
    <row r="1117" spans="1:2" x14ac:dyDescent="0.2">
      <c r="A1117" t="s">
        <v>2971</v>
      </c>
      <c r="B1117" t="b">
        <v>0</v>
      </c>
    </row>
    <row r="1118" spans="1:2" x14ac:dyDescent="0.2">
      <c r="A1118" t="s">
        <v>2972</v>
      </c>
      <c r="B1118" t="b">
        <v>0</v>
      </c>
    </row>
    <row r="1119" spans="1:2" x14ac:dyDescent="0.2">
      <c r="A1119" t="s">
        <v>2973</v>
      </c>
      <c r="B1119" t="b">
        <v>0</v>
      </c>
    </row>
    <row r="1120" spans="1:2" x14ac:dyDescent="0.2">
      <c r="A1120" t="s">
        <v>2974</v>
      </c>
      <c r="B1120" t="b">
        <v>0</v>
      </c>
    </row>
    <row r="1121" spans="1:2" x14ac:dyDescent="0.2">
      <c r="A1121" t="s">
        <v>2975</v>
      </c>
      <c r="B1121" t="b">
        <v>0</v>
      </c>
    </row>
    <row r="1122" spans="1:2" x14ac:dyDescent="0.2">
      <c r="A1122" t="s">
        <v>2976</v>
      </c>
      <c r="B1122" t="b">
        <v>0</v>
      </c>
    </row>
    <row r="1123" spans="1:2" x14ac:dyDescent="0.2">
      <c r="A1123" t="s">
        <v>2977</v>
      </c>
      <c r="B1123" t="b">
        <v>0</v>
      </c>
    </row>
    <row r="1124" spans="1:2" x14ac:dyDescent="0.2">
      <c r="A1124" t="s">
        <v>2978</v>
      </c>
      <c r="B1124" t="b">
        <v>0</v>
      </c>
    </row>
    <row r="1125" spans="1:2" x14ac:dyDescent="0.2">
      <c r="A1125" t="s">
        <v>2979</v>
      </c>
      <c r="B1125" t="b">
        <v>0</v>
      </c>
    </row>
    <row r="1126" spans="1:2" x14ac:dyDescent="0.2">
      <c r="A1126" t="s">
        <v>2980</v>
      </c>
      <c r="B1126" t="b">
        <v>0</v>
      </c>
    </row>
    <row r="1127" spans="1:2" x14ac:dyDescent="0.2">
      <c r="A1127" t="s">
        <v>2981</v>
      </c>
      <c r="B1127" t="b">
        <v>0</v>
      </c>
    </row>
    <row r="1128" spans="1:2" x14ac:dyDescent="0.2">
      <c r="A1128" t="s">
        <v>2982</v>
      </c>
      <c r="B1128" t="b">
        <v>0</v>
      </c>
    </row>
    <row r="1129" spans="1:2" x14ac:dyDescent="0.2">
      <c r="A1129" t="s">
        <v>2983</v>
      </c>
      <c r="B1129" t="b">
        <v>0</v>
      </c>
    </row>
    <row r="1130" spans="1:2" x14ac:dyDescent="0.2">
      <c r="A1130" t="s">
        <v>2984</v>
      </c>
      <c r="B1130" t="b">
        <v>0</v>
      </c>
    </row>
    <row r="1131" spans="1:2" x14ac:dyDescent="0.2">
      <c r="A1131" t="s">
        <v>2985</v>
      </c>
      <c r="B1131" t="b">
        <v>0</v>
      </c>
    </row>
    <row r="1132" spans="1:2" x14ac:dyDescent="0.2">
      <c r="A1132" t="s">
        <v>2986</v>
      </c>
      <c r="B1132" t="b">
        <v>0</v>
      </c>
    </row>
    <row r="1133" spans="1:2" x14ac:dyDescent="0.2">
      <c r="A1133" t="s">
        <v>2987</v>
      </c>
      <c r="B1133" t="b">
        <v>0</v>
      </c>
    </row>
    <row r="1134" spans="1:2" x14ac:dyDescent="0.2">
      <c r="A1134" t="s">
        <v>2988</v>
      </c>
      <c r="B1134" t="b">
        <v>0</v>
      </c>
    </row>
    <row r="1135" spans="1:2" x14ac:dyDescent="0.2">
      <c r="A1135" t="s">
        <v>2989</v>
      </c>
      <c r="B1135" t="s">
        <v>4336</v>
      </c>
    </row>
    <row r="1136" spans="1:2" x14ac:dyDescent="0.2">
      <c r="A1136" t="s">
        <v>2990</v>
      </c>
      <c r="B1136" t="b">
        <v>0</v>
      </c>
    </row>
    <row r="1137" spans="1:2" x14ac:dyDescent="0.2">
      <c r="A1137" t="s">
        <v>2991</v>
      </c>
      <c r="B1137" t="b">
        <v>0</v>
      </c>
    </row>
    <row r="1138" spans="1:2" x14ac:dyDescent="0.2">
      <c r="A1138" t="s">
        <v>2992</v>
      </c>
      <c r="B1138" t="b">
        <v>0</v>
      </c>
    </row>
    <row r="1139" spans="1:2" x14ac:dyDescent="0.2">
      <c r="A1139" t="s">
        <v>2993</v>
      </c>
      <c r="B1139" t="b">
        <v>0</v>
      </c>
    </row>
    <row r="1140" spans="1:2" x14ac:dyDescent="0.2">
      <c r="A1140" t="s">
        <v>2994</v>
      </c>
      <c r="B1140" t="b">
        <v>0</v>
      </c>
    </row>
    <row r="1141" spans="1:2" x14ac:dyDescent="0.2">
      <c r="A1141" t="s">
        <v>2995</v>
      </c>
      <c r="B1141" t="b">
        <v>0</v>
      </c>
    </row>
    <row r="1142" spans="1:2" x14ac:dyDescent="0.2">
      <c r="A1142" t="s">
        <v>2996</v>
      </c>
      <c r="B1142" t="b">
        <v>0</v>
      </c>
    </row>
    <row r="1143" spans="1:2" x14ac:dyDescent="0.2">
      <c r="A1143" t="s">
        <v>2997</v>
      </c>
      <c r="B1143" t="b">
        <v>0</v>
      </c>
    </row>
    <row r="1144" spans="1:2" x14ac:dyDescent="0.2">
      <c r="A1144" t="s">
        <v>2998</v>
      </c>
      <c r="B1144" t="b">
        <v>0</v>
      </c>
    </row>
    <row r="1145" spans="1:2" x14ac:dyDescent="0.2">
      <c r="A1145" t="s">
        <v>2999</v>
      </c>
      <c r="B1145" t="b">
        <v>0</v>
      </c>
    </row>
    <row r="1146" spans="1:2" x14ac:dyDescent="0.2">
      <c r="A1146" t="s">
        <v>3000</v>
      </c>
      <c r="B1146" t="b">
        <v>0</v>
      </c>
    </row>
    <row r="1147" spans="1:2" x14ac:dyDescent="0.2">
      <c r="A1147" t="s">
        <v>3001</v>
      </c>
      <c r="B1147" t="b">
        <v>0</v>
      </c>
    </row>
    <row r="1148" spans="1:2" x14ac:dyDescent="0.2">
      <c r="A1148" t="s">
        <v>3002</v>
      </c>
      <c r="B1148" t="b">
        <v>0</v>
      </c>
    </row>
    <row r="1149" spans="1:2" x14ac:dyDescent="0.2">
      <c r="A1149" t="s">
        <v>3003</v>
      </c>
      <c r="B1149" t="b">
        <v>0</v>
      </c>
    </row>
    <row r="1150" spans="1:2" x14ac:dyDescent="0.2">
      <c r="A1150" t="s">
        <v>3004</v>
      </c>
      <c r="B1150" t="b">
        <v>0</v>
      </c>
    </row>
    <row r="1151" spans="1:2" x14ac:dyDescent="0.2">
      <c r="A1151" t="s">
        <v>3005</v>
      </c>
      <c r="B1151" t="b">
        <v>0</v>
      </c>
    </row>
    <row r="1152" spans="1:2" x14ac:dyDescent="0.2">
      <c r="A1152" t="s">
        <v>3006</v>
      </c>
      <c r="B1152" t="b">
        <v>0</v>
      </c>
    </row>
    <row r="1153" spans="1:2" x14ac:dyDescent="0.2">
      <c r="A1153" t="s">
        <v>3007</v>
      </c>
      <c r="B1153" t="b">
        <v>0</v>
      </c>
    </row>
    <row r="1154" spans="1:2" x14ac:dyDescent="0.2">
      <c r="A1154" t="s">
        <v>3008</v>
      </c>
      <c r="B1154" t="b">
        <v>0</v>
      </c>
    </row>
    <row r="1155" spans="1:2" x14ac:dyDescent="0.2">
      <c r="A1155" t="s">
        <v>3009</v>
      </c>
      <c r="B1155" t="b">
        <v>0</v>
      </c>
    </row>
    <row r="1156" spans="1:2" x14ac:dyDescent="0.2">
      <c r="A1156" t="s">
        <v>3010</v>
      </c>
      <c r="B1156" t="b">
        <v>0</v>
      </c>
    </row>
    <row r="1157" spans="1:2" x14ac:dyDescent="0.2">
      <c r="A1157" t="s">
        <v>3011</v>
      </c>
      <c r="B1157" t="b">
        <v>0</v>
      </c>
    </row>
    <row r="1158" spans="1:2" x14ac:dyDescent="0.2">
      <c r="A1158" t="s">
        <v>3012</v>
      </c>
      <c r="B1158" t="b">
        <v>0</v>
      </c>
    </row>
    <row r="1159" spans="1:2" x14ac:dyDescent="0.2">
      <c r="A1159" t="s">
        <v>3013</v>
      </c>
      <c r="B1159" t="b">
        <v>0</v>
      </c>
    </row>
    <row r="1160" spans="1:2" x14ac:dyDescent="0.2">
      <c r="A1160" t="s">
        <v>3014</v>
      </c>
      <c r="B1160" t="b">
        <v>0</v>
      </c>
    </row>
    <row r="1161" spans="1:2" x14ac:dyDescent="0.2">
      <c r="A1161" t="s">
        <v>3015</v>
      </c>
      <c r="B1161" t="b">
        <v>0</v>
      </c>
    </row>
    <row r="1162" spans="1:2" x14ac:dyDescent="0.2">
      <c r="A1162" t="s">
        <v>3016</v>
      </c>
      <c r="B1162" t="b">
        <v>0</v>
      </c>
    </row>
    <row r="1163" spans="1:2" x14ac:dyDescent="0.2">
      <c r="A1163" t="s">
        <v>3017</v>
      </c>
      <c r="B1163" t="b">
        <v>0</v>
      </c>
    </row>
    <row r="1164" spans="1:2" x14ac:dyDescent="0.2">
      <c r="A1164" t="s">
        <v>3018</v>
      </c>
      <c r="B1164" t="b">
        <v>0</v>
      </c>
    </row>
    <row r="1165" spans="1:2" x14ac:dyDescent="0.2">
      <c r="A1165" t="s">
        <v>3019</v>
      </c>
      <c r="B1165" t="b">
        <v>0</v>
      </c>
    </row>
    <row r="1166" spans="1:2" x14ac:dyDescent="0.2">
      <c r="A1166" t="s">
        <v>3020</v>
      </c>
      <c r="B1166" t="b">
        <v>0</v>
      </c>
    </row>
    <row r="1167" spans="1:2" x14ac:dyDescent="0.2">
      <c r="A1167" t="s">
        <v>3021</v>
      </c>
      <c r="B1167" t="b">
        <v>0</v>
      </c>
    </row>
    <row r="1168" spans="1:2" x14ac:dyDescent="0.2">
      <c r="A1168" t="s">
        <v>3323</v>
      </c>
      <c r="B1168">
        <v>0</v>
      </c>
    </row>
    <row r="1169" spans="1:2" x14ac:dyDescent="0.2">
      <c r="A1169" t="s">
        <v>3324</v>
      </c>
      <c r="B1169">
        <v>0</v>
      </c>
    </row>
    <row r="1170" spans="1:2" x14ac:dyDescent="0.2">
      <c r="A1170" t="s">
        <v>3321</v>
      </c>
      <c r="B1170">
        <v>0</v>
      </c>
    </row>
    <row r="1171" spans="1:2" x14ac:dyDescent="0.2">
      <c r="A1171" t="s">
        <v>3320</v>
      </c>
      <c r="B1171">
        <v>2</v>
      </c>
    </row>
    <row r="1172" spans="1:2" x14ac:dyDescent="0.2">
      <c r="A1172" t="s">
        <v>3322</v>
      </c>
      <c r="B1172">
        <v>0</v>
      </c>
    </row>
    <row r="1173" spans="1:2" x14ac:dyDescent="0.2">
      <c r="A1173" t="s">
        <v>1912</v>
      </c>
      <c r="B1173" t="b">
        <v>0</v>
      </c>
    </row>
    <row r="1174" spans="1:2" x14ac:dyDescent="0.2">
      <c r="A1174" t="s">
        <v>1913</v>
      </c>
      <c r="B1174" t="b">
        <v>0</v>
      </c>
    </row>
    <row r="1175" spans="1:2" x14ac:dyDescent="0.2">
      <c r="A1175" t="s">
        <v>1914</v>
      </c>
      <c r="B1175" t="b">
        <v>0</v>
      </c>
    </row>
    <row r="1176" spans="1:2" x14ac:dyDescent="0.2">
      <c r="A1176" t="s">
        <v>1915</v>
      </c>
      <c r="B1176" t="b">
        <v>0</v>
      </c>
    </row>
    <row r="1177" spans="1:2" x14ac:dyDescent="0.2">
      <c r="A1177" t="s">
        <v>1916</v>
      </c>
      <c r="B1177" t="b">
        <v>0</v>
      </c>
    </row>
    <row r="1178" spans="1:2" x14ac:dyDescent="0.2">
      <c r="A1178" t="s">
        <v>1917</v>
      </c>
      <c r="B1178" t="b">
        <v>0</v>
      </c>
    </row>
    <row r="1179" spans="1:2" x14ac:dyDescent="0.2">
      <c r="A1179" t="s">
        <v>1918</v>
      </c>
      <c r="B1179" t="b">
        <v>0</v>
      </c>
    </row>
    <row r="1180" spans="1:2" x14ac:dyDescent="0.2">
      <c r="A1180" t="s">
        <v>1919</v>
      </c>
      <c r="B1180" t="b">
        <v>0</v>
      </c>
    </row>
    <row r="1181" spans="1:2" x14ac:dyDescent="0.2">
      <c r="A1181" t="s">
        <v>1920</v>
      </c>
      <c r="B1181" t="b">
        <v>0</v>
      </c>
    </row>
    <row r="1182" spans="1:2" x14ac:dyDescent="0.2">
      <c r="A1182" t="s">
        <v>1921</v>
      </c>
      <c r="B1182" t="b">
        <v>0</v>
      </c>
    </row>
    <row r="1183" spans="1:2" x14ac:dyDescent="0.2">
      <c r="A1183" t="s">
        <v>1922</v>
      </c>
      <c r="B1183" t="b">
        <v>0</v>
      </c>
    </row>
    <row r="1184" spans="1:2" x14ac:dyDescent="0.2">
      <c r="A1184" t="s">
        <v>1923</v>
      </c>
      <c r="B1184" t="b">
        <v>0</v>
      </c>
    </row>
    <row r="1185" spans="1:2" x14ac:dyDescent="0.2">
      <c r="A1185" t="s">
        <v>1924</v>
      </c>
      <c r="B1185" t="b">
        <v>0</v>
      </c>
    </row>
    <row r="1186" spans="1:2" x14ac:dyDescent="0.2">
      <c r="A1186" t="s">
        <v>1925</v>
      </c>
      <c r="B1186" t="b">
        <v>0</v>
      </c>
    </row>
    <row r="1187" spans="1:2" x14ac:dyDescent="0.2">
      <c r="A1187" t="s">
        <v>1926</v>
      </c>
      <c r="B1187" t="b">
        <v>0</v>
      </c>
    </row>
    <row r="1188" spans="1:2" x14ac:dyDescent="0.2">
      <c r="A1188" t="s">
        <v>1927</v>
      </c>
      <c r="B1188" t="b">
        <v>0</v>
      </c>
    </row>
    <row r="1189" spans="1:2" x14ac:dyDescent="0.2">
      <c r="A1189" t="s">
        <v>1928</v>
      </c>
      <c r="B1189" t="b">
        <v>0</v>
      </c>
    </row>
    <row r="1190" spans="1:2" x14ac:dyDescent="0.2">
      <c r="A1190" t="s">
        <v>1929</v>
      </c>
      <c r="B1190" t="b">
        <v>0</v>
      </c>
    </row>
    <row r="1191" spans="1:2" x14ac:dyDescent="0.2">
      <c r="A1191" t="s">
        <v>1930</v>
      </c>
      <c r="B1191" t="b">
        <v>0</v>
      </c>
    </row>
    <row r="1192" spans="1:2" x14ac:dyDescent="0.2">
      <c r="A1192" t="s">
        <v>1931</v>
      </c>
      <c r="B1192" t="b">
        <v>0</v>
      </c>
    </row>
    <row r="1193" spans="1:2" x14ac:dyDescent="0.2">
      <c r="A1193" t="s">
        <v>1932</v>
      </c>
      <c r="B1193" t="b">
        <v>0</v>
      </c>
    </row>
    <row r="1194" spans="1:2" x14ac:dyDescent="0.2">
      <c r="A1194" t="s">
        <v>1933</v>
      </c>
      <c r="B1194" t="b">
        <v>0</v>
      </c>
    </row>
    <row r="1195" spans="1:2" x14ac:dyDescent="0.2">
      <c r="A1195" t="s">
        <v>1934</v>
      </c>
      <c r="B1195" t="b">
        <v>0</v>
      </c>
    </row>
    <row r="1196" spans="1:2" x14ac:dyDescent="0.2">
      <c r="A1196" t="s">
        <v>1935</v>
      </c>
      <c r="B1196" t="b">
        <v>0</v>
      </c>
    </row>
    <row r="1197" spans="1:2" x14ac:dyDescent="0.2">
      <c r="A1197" t="s">
        <v>1936</v>
      </c>
      <c r="B1197" t="b">
        <v>0</v>
      </c>
    </row>
    <row r="1198" spans="1:2" x14ac:dyDescent="0.2">
      <c r="A1198" t="s">
        <v>1937</v>
      </c>
      <c r="B1198" t="b">
        <v>0</v>
      </c>
    </row>
    <row r="1199" spans="1:2" x14ac:dyDescent="0.2">
      <c r="A1199" t="s">
        <v>1938</v>
      </c>
      <c r="B1199" t="b">
        <v>0</v>
      </c>
    </row>
    <row r="1200" spans="1:2" x14ac:dyDescent="0.2">
      <c r="A1200" t="s">
        <v>1939</v>
      </c>
      <c r="B1200" t="b">
        <v>0</v>
      </c>
    </row>
    <row r="1201" spans="1:2" x14ac:dyDescent="0.2">
      <c r="A1201" t="s">
        <v>1940</v>
      </c>
      <c r="B1201" t="b">
        <v>0</v>
      </c>
    </row>
    <row r="1202" spans="1:2" x14ac:dyDescent="0.2">
      <c r="A1202" t="s">
        <v>1941</v>
      </c>
      <c r="B1202" t="b">
        <v>0</v>
      </c>
    </row>
    <row r="1203" spans="1:2" x14ac:dyDescent="0.2">
      <c r="A1203" t="s">
        <v>1942</v>
      </c>
      <c r="B1203" t="b">
        <v>0</v>
      </c>
    </row>
    <row r="1204" spans="1:2" x14ac:dyDescent="0.2">
      <c r="A1204" t="s">
        <v>1943</v>
      </c>
      <c r="B1204" t="b">
        <v>0</v>
      </c>
    </row>
    <row r="1205" spans="1:2" x14ac:dyDescent="0.2">
      <c r="A1205" t="s">
        <v>1944</v>
      </c>
      <c r="B1205" t="b">
        <v>0</v>
      </c>
    </row>
    <row r="1206" spans="1:2" x14ac:dyDescent="0.2">
      <c r="A1206" t="s">
        <v>1945</v>
      </c>
      <c r="B1206" t="b">
        <v>0</v>
      </c>
    </row>
    <row r="1207" spans="1:2" x14ac:dyDescent="0.2">
      <c r="A1207" t="s">
        <v>1946</v>
      </c>
      <c r="B1207" t="b">
        <v>0</v>
      </c>
    </row>
    <row r="1208" spans="1:2" x14ac:dyDescent="0.2">
      <c r="A1208" t="s">
        <v>1947</v>
      </c>
      <c r="B1208" t="b">
        <v>0</v>
      </c>
    </row>
    <row r="1209" spans="1:2" x14ac:dyDescent="0.2">
      <c r="A1209" t="s">
        <v>1948</v>
      </c>
      <c r="B1209" t="b">
        <v>0</v>
      </c>
    </row>
    <row r="1210" spans="1:2" x14ac:dyDescent="0.2">
      <c r="A1210" t="s">
        <v>1949</v>
      </c>
      <c r="B1210" t="b">
        <v>0</v>
      </c>
    </row>
    <row r="1211" spans="1:2" x14ac:dyDescent="0.2">
      <c r="A1211" t="s">
        <v>1950</v>
      </c>
      <c r="B1211" t="b">
        <v>0</v>
      </c>
    </row>
    <row r="1212" spans="1:2" x14ac:dyDescent="0.2">
      <c r="A1212" t="s">
        <v>1951</v>
      </c>
      <c r="B1212" t="b">
        <v>0</v>
      </c>
    </row>
    <row r="1213" spans="1:2" x14ac:dyDescent="0.2">
      <c r="A1213" t="s">
        <v>1952</v>
      </c>
      <c r="B1213" t="b">
        <v>0</v>
      </c>
    </row>
    <row r="1214" spans="1:2" x14ac:dyDescent="0.2">
      <c r="A1214" t="s">
        <v>1953</v>
      </c>
      <c r="B1214" t="b">
        <v>0</v>
      </c>
    </row>
    <row r="1215" spans="1:2" x14ac:dyDescent="0.2">
      <c r="A1215" t="s">
        <v>1954</v>
      </c>
      <c r="B1215">
        <v>0</v>
      </c>
    </row>
    <row r="1216" spans="1:2" x14ac:dyDescent="0.2">
      <c r="A1216" t="s">
        <v>1955</v>
      </c>
      <c r="B1216">
        <v>0</v>
      </c>
    </row>
    <row r="1217" spans="1:2" x14ac:dyDescent="0.2">
      <c r="A1217" t="s">
        <v>1956</v>
      </c>
      <c r="B1217">
        <v>0</v>
      </c>
    </row>
    <row r="1218" spans="1:2" x14ac:dyDescent="0.2">
      <c r="A1218" t="s">
        <v>1957</v>
      </c>
      <c r="B1218">
        <v>0</v>
      </c>
    </row>
    <row r="1219" spans="1:2" x14ac:dyDescent="0.2">
      <c r="A1219" t="s">
        <v>1958</v>
      </c>
      <c r="B1219">
        <v>0</v>
      </c>
    </row>
    <row r="1220" spans="1:2" x14ac:dyDescent="0.2">
      <c r="A1220" t="s">
        <v>1959</v>
      </c>
      <c r="B1220">
        <v>0</v>
      </c>
    </row>
    <row r="1221" spans="1:2" x14ac:dyDescent="0.2">
      <c r="A1221" t="s">
        <v>1960</v>
      </c>
      <c r="B1221">
        <v>0</v>
      </c>
    </row>
    <row r="1222" spans="1:2" x14ac:dyDescent="0.2">
      <c r="A1222" t="s">
        <v>1961</v>
      </c>
      <c r="B1222">
        <v>0</v>
      </c>
    </row>
    <row r="1223" spans="1:2" x14ac:dyDescent="0.2">
      <c r="A1223" t="s">
        <v>1962</v>
      </c>
      <c r="B1223">
        <v>0</v>
      </c>
    </row>
    <row r="1224" spans="1:2" x14ac:dyDescent="0.2">
      <c r="A1224" t="s">
        <v>1963</v>
      </c>
      <c r="B1224" t="s">
        <v>4336</v>
      </c>
    </row>
    <row r="1225" spans="1:2" x14ac:dyDescent="0.2">
      <c r="A1225" t="s">
        <v>1964</v>
      </c>
      <c r="B1225">
        <v>0</v>
      </c>
    </row>
    <row r="1226" spans="1:2" x14ac:dyDescent="0.2">
      <c r="A1226" t="s">
        <v>1965</v>
      </c>
      <c r="B1226">
        <v>1</v>
      </c>
    </row>
    <row r="1227" spans="1:2" x14ac:dyDescent="0.2">
      <c r="A1227" t="s">
        <v>1966</v>
      </c>
      <c r="B1227">
        <v>1</v>
      </c>
    </row>
    <row r="1228" spans="1:2" x14ac:dyDescent="0.2">
      <c r="A1228" t="s">
        <v>1967</v>
      </c>
      <c r="B1228">
        <v>1</v>
      </c>
    </row>
    <row r="1229" spans="1:2" x14ac:dyDescent="0.2">
      <c r="A1229" t="s">
        <v>1968</v>
      </c>
      <c r="B1229">
        <v>1</v>
      </c>
    </row>
    <row r="1230" spans="1:2" x14ac:dyDescent="0.2">
      <c r="A1230" t="s">
        <v>1969</v>
      </c>
      <c r="B1230">
        <v>1</v>
      </c>
    </row>
    <row r="1231" spans="1:2" x14ac:dyDescent="0.2">
      <c r="A1231" t="s">
        <v>1970</v>
      </c>
      <c r="B1231">
        <v>1</v>
      </c>
    </row>
    <row r="1232" spans="1:2" x14ac:dyDescent="0.2">
      <c r="A1232" t="s">
        <v>1971</v>
      </c>
      <c r="B1232">
        <v>1</v>
      </c>
    </row>
    <row r="1233" spans="1:2" x14ac:dyDescent="0.2">
      <c r="A1233" t="s">
        <v>1972</v>
      </c>
      <c r="B1233">
        <v>1</v>
      </c>
    </row>
    <row r="1234" spans="1:2" x14ac:dyDescent="0.2">
      <c r="A1234" t="s">
        <v>1973</v>
      </c>
      <c r="B1234">
        <v>1</v>
      </c>
    </row>
    <row r="1235" spans="1:2" x14ac:dyDescent="0.2">
      <c r="A1235" t="s">
        <v>1974</v>
      </c>
      <c r="B1235">
        <v>1</v>
      </c>
    </row>
    <row r="1236" spans="1:2" x14ac:dyDescent="0.2">
      <c r="A1236" t="s">
        <v>3022</v>
      </c>
      <c r="B1236" t="s">
        <v>4336</v>
      </c>
    </row>
    <row r="1237" spans="1:2" x14ac:dyDescent="0.2">
      <c r="A1237" t="s">
        <v>1975</v>
      </c>
      <c r="B1237" t="s">
        <v>4336</v>
      </c>
    </row>
    <row r="1238" spans="1:2" x14ac:dyDescent="0.2">
      <c r="A1238" t="s">
        <v>1976</v>
      </c>
      <c r="B1238">
        <v>0</v>
      </c>
    </row>
    <row r="1239" spans="1:2" x14ac:dyDescent="0.2">
      <c r="A1239" t="s">
        <v>1791</v>
      </c>
      <c r="B1239" t="s">
        <v>4336</v>
      </c>
    </row>
    <row r="1240" spans="1:2" x14ac:dyDescent="0.2">
      <c r="A1240" t="s">
        <v>3023</v>
      </c>
      <c r="B1240">
        <v>1</v>
      </c>
    </row>
    <row r="1241" spans="1:2" x14ac:dyDescent="0.2">
      <c r="A1241" t="s">
        <v>3024</v>
      </c>
      <c r="B1241">
        <v>1</v>
      </c>
    </row>
    <row r="1242" spans="1:2" x14ac:dyDescent="0.2">
      <c r="A1242" t="s">
        <v>3025</v>
      </c>
      <c r="B1242">
        <v>1</v>
      </c>
    </row>
    <row r="1243" spans="1:2" x14ac:dyDescent="0.2">
      <c r="A1243" t="s">
        <v>3026</v>
      </c>
      <c r="B1243">
        <v>1</v>
      </c>
    </row>
    <row r="1244" spans="1:2" x14ac:dyDescent="0.2">
      <c r="A1244" t="s">
        <v>3027</v>
      </c>
      <c r="B1244">
        <v>1</v>
      </c>
    </row>
    <row r="1245" spans="1:2" x14ac:dyDescent="0.2">
      <c r="A1245" t="s">
        <v>3028</v>
      </c>
      <c r="B1245">
        <v>1</v>
      </c>
    </row>
    <row r="1246" spans="1:2" x14ac:dyDescent="0.2">
      <c r="A1246" t="s">
        <v>3029</v>
      </c>
      <c r="B1246">
        <v>1</v>
      </c>
    </row>
    <row r="1247" spans="1:2" x14ac:dyDescent="0.2">
      <c r="A1247" t="s">
        <v>3030</v>
      </c>
      <c r="B1247">
        <v>1</v>
      </c>
    </row>
    <row r="1248" spans="1:2" x14ac:dyDescent="0.2">
      <c r="A1248" t="s">
        <v>3031</v>
      </c>
      <c r="B1248" t="s">
        <v>4336</v>
      </c>
    </row>
    <row r="1249" spans="1:2" x14ac:dyDescent="0.2">
      <c r="A1249" t="s">
        <v>3032</v>
      </c>
      <c r="B1249">
        <v>1</v>
      </c>
    </row>
    <row r="1250" spans="1:2" x14ac:dyDescent="0.2">
      <c r="A1250" t="s">
        <v>3033</v>
      </c>
      <c r="B1250">
        <v>0</v>
      </c>
    </row>
    <row r="1251" spans="1:2" x14ac:dyDescent="0.2">
      <c r="A1251" t="s">
        <v>3034</v>
      </c>
      <c r="B1251">
        <v>0</v>
      </c>
    </row>
    <row r="1252" spans="1:2" x14ac:dyDescent="0.2">
      <c r="A1252" t="s">
        <v>3035</v>
      </c>
      <c r="B1252">
        <v>0</v>
      </c>
    </row>
    <row r="1253" spans="1:2" x14ac:dyDescent="0.2">
      <c r="A1253" t="s">
        <v>3036</v>
      </c>
      <c r="B1253">
        <v>0</v>
      </c>
    </row>
    <row r="1254" spans="1:2" x14ac:dyDescent="0.2">
      <c r="A1254" t="s">
        <v>3037</v>
      </c>
      <c r="B1254">
        <v>0</v>
      </c>
    </row>
    <row r="1255" spans="1:2" x14ac:dyDescent="0.2">
      <c r="A1255" t="s">
        <v>3038</v>
      </c>
      <c r="B1255">
        <v>0</v>
      </c>
    </row>
    <row r="1256" spans="1:2" x14ac:dyDescent="0.2">
      <c r="A1256" t="s">
        <v>3039</v>
      </c>
      <c r="B1256">
        <v>0</v>
      </c>
    </row>
    <row r="1257" spans="1:2" x14ac:dyDescent="0.2">
      <c r="A1257" t="s">
        <v>3040</v>
      </c>
      <c r="B1257">
        <v>0</v>
      </c>
    </row>
    <row r="1258" spans="1:2" x14ac:dyDescent="0.2">
      <c r="A1258" t="s">
        <v>3041</v>
      </c>
      <c r="B1258">
        <v>0</v>
      </c>
    </row>
    <row r="1259" spans="1:2" x14ac:dyDescent="0.2">
      <c r="A1259" t="s">
        <v>3042</v>
      </c>
      <c r="B1259">
        <v>0</v>
      </c>
    </row>
    <row r="1260" spans="1:2" x14ac:dyDescent="0.2">
      <c r="A1260" t="s">
        <v>3043</v>
      </c>
      <c r="B1260">
        <v>0</v>
      </c>
    </row>
    <row r="1261" spans="1:2" x14ac:dyDescent="0.2">
      <c r="A1261" t="s">
        <v>3044</v>
      </c>
      <c r="B1261">
        <v>0</v>
      </c>
    </row>
    <row r="1262" spans="1:2" x14ac:dyDescent="0.2">
      <c r="A1262" t="s">
        <v>3045</v>
      </c>
      <c r="B1262">
        <v>0</v>
      </c>
    </row>
    <row r="1263" spans="1:2" x14ac:dyDescent="0.2">
      <c r="A1263" t="s">
        <v>3046</v>
      </c>
      <c r="B1263">
        <v>0</v>
      </c>
    </row>
    <row r="1264" spans="1:2" x14ac:dyDescent="0.2">
      <c r="A1264" t="s">
        <v>3047</v>
      </c>
      <c r="B1264">
        <v>0</v>
      </c>
    </row>
    <row r="1265" spans="1:2" x14ac:dyDescent="0.2">
      <c r="A1265" t="s">
        <v>3048</v>
      </c>
      <c r="B1265">
        <v>0</v>
      </c>
    </row>
    <row r="1266" spans="1:2" x14ac:dyDescent="0.2">
      <c r="A1266" t="s">
        <v>1046</v>
      </c>
      <c r="B1266">
        <v>1</v>
      </c>
    </row>
    <row r="1267" spans="1:2" x14ac:dyDescent="0.2">
      <c r="A1267" t="s">
        <v>1047</v>
      </c>
      <c r="B1267">
        <v>1</v>
      </c>
    </row>
    <row r="1268" spans="1:2" x14ac:dyDescent="0.2">
      <c r="A1268" t="s">
        <v>1048</v>
      </c>
      <c r="B1268">
        <v>1</v>
      </c>
    </row>
    <row r="1269" spans="1:2" x14ac:dyDescent="0.2">
      <c r="A1269" t="s">
        <v>1049</v>
      </c>
      <c r="B1269">
        <v>1</v>
      </c>
    </row>
    <row r="1270" spans="1:2" x14ac:dyDescent="0.2">
      <c r="A1270" t="s">
        <v>1050</v>
      </c>
      <c r="B1270">
        <v>1</v>
      </c>
    </row>
    <row r="1271" spans="1:2" x14ac:dyDescent="0.2">
      <c r="A1271" t="s">
        <v>1051</v>
      </c>
      <c r="B1271">
        <v>1</v>
      </c>
    </row>
    <row r="1272" spans="1:2" x14ac:dyDescent="0.2">
      <c r="A1272" t="s">
        <v>3049</v>
      </c>
      <c r="B1272" t="s">
        <v>4336</v>
      </c>
    </row>
    <row r="1273" spans="1:2" x14ac:dyDescent="0.2">
      <c r="A1273" t="s">
        <v>3050</v>
      </c>
      <c r="B1273" t="b">
        <v>0</v>
      </c>
    </row>
    <row r="1274" spans="1:2" x14ac:dyDescent="0.2">
      <c r="A1274" t="s">
        <v>3051</v>
      </c>
      <c r="B1274" t="b">
        <v>0</v>
      </c>
    </row>
    <row r="1275" spans="1:2" x14ac:dyDescent="0.2">
      <c r="A1275" t="s">
        <v>3052</v>
      </c>
      <c r="B1275" t="b">
        <v>0</v>
      </c>
    </row>
    <row r="1276" spans="1:2" x14ac:dyDescent="0.2">
      <c r="A1276" t="s">
        <v>3053</v>
      </c>
      <c r="B1276" t="b">
        <v>0</v>
      </c>
    </row>
    <row r="1277" spans="1:2" x14ac:dyDescent="0.2">
      <c r="A1277" t="s">
        <v>3054</v>
      </c>
      <c r="B1277" t="b">
        <v>0</v>
      </c>
    </row>
    <row r="1278" spans="1:2" x14ac:dyDescent="0.2">
      <c r="A1278" t="s">
        <v>3055</v>
      </c>
      <c r="B1278" t="b">
        <v>0</v>
      </c>
    </row>
    <row r="1279" spans="1:2" x14ac:dyDescent="0.2">
      <c r="A1279" t="s">
        <v>3056</v>
      </c>
      <c r="B1279" t="b">
        <v>0</v>
      </c>
    </row>
    <row r="1280" spans="1:2" x14ac:dyDescent="0.2">
      <c r="A1280" t="s">
        <v>3057</v>
      </c>
      <c r="B1280" t="b">
        <v>0</v>
      </c>
    </row>
    <row r="1281" spans="1:2" x14ac:dyDescent="0.2">
      <c r="A1281" t="s">
        <v>3058</v>
      </c>
      <c r="B1281" t="b">
        <v>0</v>
      </c>
    </row>
    <row r="1282" spans="1:2" x14ac:dyDescent="0.2">
      <c r="A1282" t="s">
        <v>3059</v>
      </c>
      <c r="B1282" t="b">
        <v>0</v>
      </c>
    </row>
    <row r="1283" spans="1:2" x14ac:dyDescent="0.2">
      <c r="A1283" t="s">
        <v>3060</v>
      </c>
      <c r="B1283" t="b">
        <v>0</v>
      </c>
    </row>
    <row r="1284" spans="1:2" x14ac:dyDescent="0.2">
      <c r="A1284" t="s">
        <v>3061</v>
      </c>
      <c r="B1284" t="b">
        <v>0</v>
      </c>
    </row>
    <row r="1285" spans="1:2" x14ac:dyDescent="0.2">
      <c r="A1285" t="s">
        <v>3062</v>
      </c>
      <c r="B1285" t="b">
        <v>0</v>
      </c>
    </row>
    <row r="1286" spans="1:2" x14ac:dyDescent="0.2">
      <c r="A1286" t="s">
        <v>3063</v>
      </c>
      <c r="B1286" t="b">
        <v>0</v>
      </c>
    </row>
    <row r="1287" spans="1:2" x14ac:dyDescent="0.2">
      <c r="A1287" t="s">
        <v>3064</v>
      </c>
      <c r="B1287" t="b">
        <v>0</v>
      </c>
    </row>
    <row r="1288" spans="1:2" x14ac:dyDescent="0.2">
      <c r="A1288" t="s">
        <v>3065</v>
      </c>
      <c r="B1288" t="b">
        <v>0</v>
      </c>
    </row>
    <row r="1289" spans="1:2" x14ac:dyDescent="0.2">
      <c r="A1289" t="s">
        <v>3066</v>
      </c>
      <c r="B1289" t="b">
        <v>0</v>
      </c>
    </row>
    <row r="1290" spans="1:2" x14ac:dyDescent="0.2">
      <c r="A1290" t="s">
        <v>3067</v>
      </c>
      <c r="B1290" t="b">
        <v>0</v>
      </c>
    </row>
    <row r="1291" spans="1:2" x14ac:dyDescent="0.2">
      <c r="A1291" t="s">
        <v>3068</v>
      </c>
      <c r="B1291" t="b">
        <v>0</v>
      </c>
    </row>
    <row r="1292" spans="1:2" x14ac:dyDescent="0.2">
      <c r="A1292" t="s">
        <v>3069</v>
      </c>
      <c r="B1292" t="b">
        <v>0</v>
      </c>
    </row>
    <row r="1293" spans="1:2" x14ac:dyDescent="0.2">
      <c r="A1293" t="s">
        <v>3070</v>
      </c>
      <c r="B1293" t="b">
        <v>0</v>
      </c>
    </row>
    <row r="1294" spans="1:2" x14ac:dyDescent="0.2">
      <c r="A1294" t="s">
        <v>3071</v>
      </c>
      <c r="B1294" t="b">
        <v>0</v>
      </c>
    </row>
    <row r="1295" spans="1:2" x14ac:dyDescent="0.2">
      <c r="A1295" t="s">
        <v>3072</v>
      </c>
      <c r="B1295" t="b">
        <v>0</v>
      </c>
    </row>
    <row r="1296" spans="1:2" x14ac:dyDescent="0.2">
      <c r="A1296" t="s">
        <v>3073</v>
      </c>
      <c r="B1296" t="b">
        <v>0</v>
      </c>
    </row>
    <row r="1297" spans="1:2" x14ac:dyDescent="0.2">
      <c r="A1297" t="s">
        <v>3074</v>
      </c>
      <c r="B1297" t="b">
        <v>0</v>
      </c>
    </row>
    <row r="1298" spans="1:2" x14ac:dyDescent="0.2">
      <c r="A1298" t="s">
        <v>3075</v>
      </c>
      <c r="B1298" t="b">
        <v>0</v>
      </c>
    </row>
    <row r="1299" spans="1:2" x14ac:dyDescent="0.2">
      <c r="A1299" t="s">
        <v>3076</v>
      </c>
      <c r="B1299" t="b">
        <v>0</v>
      </c>
    </row>
    <row r="1300" spans="1:2" x14ac:dyDescent="0.2">
      <c r="A1300" t="s">
        <v>3077</v>
      </c>
      <c r="B1300" t="b">
        <v>0</v>
      </c>
    </row>
    <row r="1301" spans="1:2" x14ac:dyDescent="0.2">
      <c r="A1301" t="s">
        <v>3078</v>
      </c>
      <c r="B1301" t="b">
        <v>0</v>
      </c>
    </row>
    <row r="1302" spans="1:2" x14ac:dyDescent="0.2">
      <c r="A1302" t="s">
        <v>3079</v>
      </c>
      <c r="B1302" t="b">
        <v>0</v>
      </c>
    </row>
    <row r="1303" spans="1:2" x14ac:dyDescent="0.2">
      <c r="A1303" t="s">
        <v>3080</v>
      </c>
      <c r="B1303" t="b">
        <v>0</v>
      </c>
    </row>
    <row r="1304" spans="1:2" x14ac:dyDescent="0.2">
      <c r="A1304" t="s">
        <v>3081</v>
      </c>
      <c r="B1304" t="b">
        <v>0</v>
      </c>
    </row>
    <row r="1305" spans="1:2" x14ac:dyDescent="0.2">
      <c r="A1305" t="s">
        <v>3082</v>
      </c>
      <c r="B1305" t="b">
        <v>0</v>
      </c>
    </row>
    <row r="1306" spans="1:2" x14ac:dyDescent="0.2">
      <c r="A1306" t="s">
        <v>3083</v>
      </c>
      <c r="B1306" t="b">
        <v>0</v>
      </c>
    </row>
    <row r="1307" spans="1:2" x14ac:dyDescent="0.2">
      <c r="A1307" t="s">
        <v>3084</v>
      </c>
      <c r="B1307" t="b">
        <v>0</v>
      </c>
    </row>
    <row r="1308" spans="1:2" x14ac:dyDescent="0.2">
      <c r="A1308" t="s">
        <v>3085</v>
      </c>
      <c r="B1308" t="b">
        <v>0</v>
      </c>
    </row>
    <row r="1309" spans="1:2" x14ac:dyDescent="0.2">
      <c r="A1309" t="s">
        <v>3086</v>
      </c>
      <c r="B1309" t="b">
        <v>0</v>
      </c>
    </row>
    <row r="1310" spans="1:2" x14ac:dyDescent="0.2">
      <c r="A1310" t="s">
        <v>3087</v>
      </c>
      <c r="B1310" t="b">
        <v>0</v>
      </c>
    </row>
    <row r="1311" spans="1:2" x14ac:dyDescent="0.2">
      <c r="A1311" t="s">
        <v>3088</v>
      </c>
      <c r="B1311" t="b">
        <v>0</v>
      </c>
    </row>
    <row r="1312" spans="1:2" x14ac:dyDescent="0.2">
      <c r="A1312" t="s">
        <v>3089</v>
      </c>
      <c r="B1312" t="b">
        <v>0</v>
      </c>
    </row>
    <row r="1313" spans="1:2" x14ac:dyDescent="0.2">
      <c r="A1313" t="s">
        <v>3090</v>
      </c>
      <c r="B1313" t="b">
        <v>0</v>
      </c>
    </row>
    <row r="1314" spans="1:2" x14ac:dyDescent="0.2">
      <c r="A1314" t="s">
        <v>3091</v>
      </c>
      <c r="B1314" t="b">
        <v>0</v>
      </c>
    </row>
    <row r="1315" spans="1:2" x14ac:dyDescent="0.2">
      <c r="A1315" t="s">
        <v>3092</v>
      </c>
      <c r="B1315" t="b">
        <v>0</v>
      </c>
    </row>
    <row r="1316" spans="1:2" x14ac:dyDescent="0.2">
      <c r="A1316" t="s">
        <v>3093</v>
      </c>
      <c r="B1316" t="b">
        <v>0</v>
      </c>
    </row>
    <row r="1317" spans="1:2" x14ac:dyDescent="0.2">
      <c r="A1317" t="s">
        <v>3094</v>
      </c>
      <c r="B1317" t="b">
        <v>0</v>
      </c>
    </row>
    <row r="1318" spans="1:2" x14ac:dyDescent="0.2">
      <c r="A1318" t="s">
        <v>3095</v>
      </c>
      <c r="B1318" t="b">
        <v>0</v>
      </c>
    </row>
    <row r="1319" spans="1:2" x14ac:dyDescent="0.2">
      <c r="A1319" t="s">
        <v>3096</v>
      </c>
      <c r="B1319" t="b">
        <v>0</v>
      </c>
    </row>
    <row r="1320" spans="1:2" x14ac:dyDescent="0.2">
      <c r="A1320" t="s">
        <v>3097</v>
      </c>
      <c r="B1320" t="b">
        <v>0</v>
      </c>
    </row>
    <row r="1321" spans="1:2" x14ac:dyDescent="0.2">
      <c r="A1321" t="s">
        <v>3098</v>
      </c>
      <c r="B1321" t="b">
        <v>0</v>
      </c>
    </row>
    <row r="1322" spans="1:2" x14ac:dyDescent="0.2">
      <c r="A1322" t="s">
        <v>3099</v>
      </c>
      <c r="B1322" t="b">
        <v>0</v>
      </c>
    </row>
    <row r="1323" spans="1:2" x14ac:dyDescent="0.2">
      <c r="A1323" t="s">
        <v>3100</v>
      </c>
      <c r="B1323" t="b">
        <v>0</v>
      </c>
    </row>
    <row r="1324" spans="1:2" x14ac:dyDescent="0.2">
      <c r="A1324" t="s">
        <v>3101</v>
      </c>
      <c r="B1324" t="b">
        <v>0</v>
      </c>
    </row>
    <row r="1325" spans="1:2" x14ac:dyDescent="0.2">
      <c r="A1325" t="s">
        <v>3102</v>
      </c>
      <c r="B1325" t="b">
        <v>0</v>
      </c>
    </row>
    <row r="1326" spans="1:2" x14ac:dyDescent="0.2">
      <c r="A1326" t="s">
        <v>3103</v>
      </c>
      <c r="B1326" t="b">
        <v>0</v>
      </c>
    </row>
    <row r="1327" spans="1:2" x14ac:dyDescent="0.2">
      <c r="A1327" t="s">
        <v>3104</v>
      </c>
      <c r="B1327" t="b">
        <v>0</v>
      </c>
    </row>
    <row r="1328" spans="1:2" x14ac:dyDescent="0.2">
      <c r="A1328" t="s">
        <v>3105</v>
      </c>
      <c r="B1328" t="b">
        <v>0</v>
      </c>
    </row>
    <row r="1329" spans="1:2" x14ac:dyDescent="0.2">
      <c r="A1329" t="s">
        <v>3106</v>
      </c>
      <c r="B1329" t="b">
        <v>0</v>
      </c>
    </row>
    <row r="1330" spans="1:2" x14ac:dyDescent="0.2">
      <c r="A1330" t="s">
        <v>3107</v>
      </c>
      <c r="B1330" t="b">
        <v>0</v>
      </c>
    </row>
    <row r="1331" spans="1:2" x14ac:dyDescent="0.2">
      <c r="A1331" t="s">
        <v>3108</v>
      </c>
      <c r="B1331" t="b">
        <v>0</v>
      </c>
    </row>
    <row r="1332" spans="1:2" x14ac:dyDescent="0.2">
      <c r="A1332" t="s">
        <v>3109</v>
      </c>
      <c r="B1332" t="b">
        <v>0</v>
      </c>
    </row>
    <row r="1333" spans="1:2" x14ac:dyDescent="0.2">
      <c r="A1333" t="s">
        <v>3110</v>
      </c>
      <c r="B1333" t="b">
        <v>0</v>
      </c>
    </row>
    <row r="1334" spans="1:2" x14ac:dyDescent="0.2">
      <c r="A1334" t="s">
        <v>3111</v>
      </c>
      <c r="B1334" t="b">
        <v>0</v>
      </c>
    </row>
    <row r="1335" spans="1:2" x14ac:dyDescent="0.2">
      <c r="A1335" t="s">
        <v>3112</v>
      </c>
      <c r="B1335" t="b">
        <v>0</v>
      </c>
    </row>
    <row r="1336" spans="1:2" x14ac:dyDescent="0.2">
      <c r="A1336" t="s">
        <v>3113</v>
      </c>
      <c r="B1336" t="b">
        <v>0</v>
      </c>
    </row>
    <row r="1337" spans="1:2" x14ac:dyDescent="0.2">
      <c r="A1337" t="s">
        <v>3114</v>
      </c>
      <c r="B1337" t="b">
        <v>0</v>
      </c>
    </row>
    <row r="1338" spans="1:2" x14ac:dyDescent="0.2">
      <c r="A1338" t="s">
        <v>3115</v>
      </c>
      <c r="B1338" t="b">
        <v>0</v>
      </c>
    </row>
    <row r="1339" spans="1:2" x14ac:dyDescent="0.2">
      <c r="A1339" t="s">
        <v>3116</v>
      </c>
      <c r="B1339" t="b">
        <v>0</v>
      </c>
    </row>
    <row r="1340" spans="1:2" x14ac:dyDescent="0.2">
      <c r="A1340" t="s">
        <v>3117</v>
      </c>
      <c r="B1340" t="b">
        <v>0</v>
      </c>
    </row>
    <row r="1341" spans="1:2" x14ac:dyDescent="0.2">
      <c r="A1341" t="s">
        <v>3118</v>
      </c>
      <c r="B1341" t="b">
        <v>0</v>
      </c>
    </row>
    <row r="1342" spans="1:2" x14ac:dyDescent="0.2">
      <c r="A1342" t="s">
        <v>3119</v>
      </c>
      <c r="B1342" t="b">
        <v>0</v>
      </c>
    </row>
    <row r="1343" spans="1:2" x14ac:dyDescent="0.2">
      <c r="A1343" t="s">
        <v>3120</v>
      </c>
      <c r="B1343" t="b">
        <v>0</v>
      </c>
    </row>
    <row r="1344" spans="1:2" x14ac:dyDescent="0.2">
      <c r="A1344" t="s">
        <v>3121</v>
      </c>
      <c r="B1344" t="b">
        <v>0</v>
      </c>
    </row>
    <row r="1345" spans="1:2" x14ac:dyDescent="0.2">
      <c r="A1345" t="s">
        <v>3122</v>
      </c>
      <c r="B1345" t="b">
        <v>0</v>
      </c>
    </row>
    <row r="1346" spans="1:2" x14ac:dyDescent="0.2">
      <c r="A1346" t="s">
        <v>3123</v>
      </c>
      <c r="B1346" t="b">
        <v>0</v>
      </c>
    </row>
    <row r="1347" spans="1:2" x14ac:dyDescent="0.2">
      <c r="A1347" t="s">
        <v>3124</v>
      </c>
      <c r="B1347" t="b">
        <v>0</v>
      </c>
    </row>
    <row r="1348" spans="1:2" x14ac:dyDescent="0.2">
      <c r="A1348" t="s">
        <v>3125</v>
      </c>
      <c r="B1348" t="b">
        <v>0</v>
      </c>
    </row>
    <row r="1349" spans="1:2" x14ac:dyDescent="0.2">
      <c r="A1349" t="s">
        <v>3126</v>
      </c>
      <c r="B1349" t="b">
        <v>0</v>
      </c>
    </row>
    <row r="1350" spans="1:2" x14ac:dyDescent="0.2">
      <c r="A1350" t="s">
        <v>3127</v>
      </c>
      <c r="B1350" t="b">
        <v>0</v>
      </c>
    </row>
    <row r="1351" spans="1:2" x14ac:dyDescent="0.2">
      <c r="A1351" t="s">
        <v>3128</v>
      </c>
      <c r="B1351" t="b">
        <v>0</v>
      </c>
    </row>
    <row r="1352" spans="1:2" x14ac:dyDescent="0.2">
      <c r="A1352" t="s">
        <v>3129</v>
      </c>
      <c r="B1352" t="b">
        <v>0</v>
      </c>
    </row>
    <row r="1353" spans="1:2" x14ac:dyDescent="0.2">
      <c r="A1353" t="s">
        <v>3130</v>
      </c>
      <c r="B1353" t="b">
        <v>0</v>
      </c>
    </row>
    <row r="1354" spans="1:2" x14ac:dyDescent="0.2">
      <c r="A1354" t="s">
        <v>3131</v>
      </c>
      <c r="B1354" t="b">
        <v>0</v>
      </c>
    </row>
    <row r="1355" spans="1:2" x14ac:dyDescent="0.2">
      <c r="A1355" t="s">
        <v>3132</v>
      </c>
      <c r="B1355" t="b">
        <v>0</v>
      </c>
    </row>
    <row r="1356" spans="1:2" x14ac:dyDescent="0.2">
      <c r="A1356" t="s">
        <v>3133</v>
      </c>
      <c r="B1356" t="b">
        <v>0</v>
      </c>
    </row>
    <row r="1357" spans="1:2" x14ac:dyDescent="0.2">
      <c r="A1357" t="s">
        <v>3134</v>
      </c>
      <c r="B1357" t="b">
        <v>0</v>
      </c>
    </row>
    <row r="1358" spans="1:2" x14ac:dyDescent="0.2">
      <c r="A1358" t="s">
        <v>3135</v>
      </c>
      <c r="B1358" t="b">
        <v>0</v>
      </c>
    </row>
    <row r="1359" spans="1:2" x14ac:dyDescent="0.2">
      <c r="A1359" t="s">
        <v>3136</v>
      </c>
      <c r="B1359" t="b">
        <v>0</v>
      </c>
    </row>
    <row r="1360" spans="1:2" x14ac:dyDescent="0.2">
      <c r="A1360" t="s">
        <v>3137</v>
      </c>
      <c r="B1360" t="b">
        <v>0</v>
      </c>
    </row>
    <row r="1361" spans="1:2" x14ac:dyDescent="0.2">
      <c r="A1361" t="s">
        <v>3138</v>
      </c>
      <c r="B1361" t="b">
        <v>0</v>
      </c>
    </row>
    <row r="1362" spans="1:2" x14ac:dyDescent="0.2">
      <c r="A1362" t="s">
        <v>3139</v>
      </c>
      <c r="B1362" t="b">
        <v>0</v>
      </c>
    </row>
    <row r="1363" spans="1:2" x14ac:dyDescent="0.2">
      <c r="A1363" t="s">
        <v>3140</v>
      </c>
      <c r="B1363" t="b">
        <v>0</v>
      </c>
    </row>
    <row r="1364" spans="1:2" x14ac:dyDescent="0.2">
      <c r="A1364" t="s">
        <v>3141</v>
      </c>
      <c r="B1364" t="b">
        <v>0</v>
      </c>
    </row>
    <row r="1365" spans="1:2" x14ac:dyDescent="0.2">
      <c r="A1365" t="s">
        <v>3142</v>
      </c>
      <c r="B1365" t="b">
        <v>0</v>
      </c>
    </row>
    <row r="1366" spans="1:2" x14ac:dyDescent="0.2">
      <c r="A1366" t="s">
        <v>3143</v>
      </c>
      <c r="B1366" t="b">
        <v>0</v>
      </c>
    </row>
    <row r="1367" spans="1:2" x14ac:dyDescent="0.2">
      <c r="A1367" t="s">
        <v>3144</v>
      </c>
      <c r="B1367" t="b">
        <v>0</v>
      </c>
    </row>
    <row r="1368" spans="1:2" x14ac:dyDescent="0.2">
      <c r="A1368" t="s">
        <v>3145</v>
      </c>
      <c r="B1368" t="b">
        <v>0</v>
      </c>
    </row>
    <row r="1369" spans="1:2" x14ac:dyDescent="0.2">
      <c r="A1369" t="s">
        <v>3146</v>
      </c>
      <c r="B1369" t="b">
        <v>0</v>
      </c>
    </row>
    <row r="1370" spans="1:2" x14ac:dyDescent="0.2">
      <c r="A1370" t="s">
        <v>3147</v>
      </c>
      <c r="B1370" t="b">
        <v>0</v>
      </c>
    </row>
    <row r="1371" spans="1:2" x14ac:dyDescent="0.2">
      <c r="A1371" t="s">
        <v>3148</v>
      </c>
      <c r="B1371" t="b">
        <v>0</v>
      </c>
    </row>
    <row r="1372" spans="1:2" x14ac:dyDescent="0.2">
      <c r="A1372" t="s">
        <v>3149</v>
      </c>
      <c r="B1372" t="b">
        <v>0</v>
      </c>
    </row>
    <row r="1373" spans="1:2" x14ac:dyDescent="0.2">
      <c r="A1373" t="s">
        <v>3150</v>
      </c>
      <c r="B1373" t="b">
        <v>0</v>
      </c>
    </row>
    <row r="1374" spans="1:2" x14ac:dyDescent="0.2">
      <c r="A1374" t="s">
        <v>3151</v>
      </c>
      <c r="B1374" t="b">
        <v>0</v>
      </c>
    </row>
    <row r="1375" spans="1:2" x14ac:dyDescent="0.2">
      <c r="A1375" t="s">
        <v>3152</v>
      </c>
      <c r="B1375" t="b">
        <v>0</v>
      </c>
    </row>
    <row r="1376" spans="1:2" x14ac:dyDescent="0.2">
      <c r="A1376" t="s">
        <v>3153</v>
      </c>
      <c r="B1376" t="b">
        <v>0</v>
      </c>
    </row>
    <row r="1377" spans="1:2" x14ac:dyDescent="0.2">
      <c r="A1377" t="s">
        <v>3154</v>
      </c>
      <c r="B1377" t="b">
        <v>0</v>
      </c>
    </row>
    <row r="1378" spans="1:2" x14ac:dyDescent="0.2">
      <c r="A1378" t="s">
        <v>3155</v>
      </c>
      <c r="B1378" t="b">
        <v>0</v>
      </c>
    </row>
    <row r="1379" spans="1:2" x14ac:dyDescent="0.2">
      <c r="A1379" t="s">
        <v>3156</v>
      </c>
      <c r="B1379" t="b">
        <v>0</v>
      </c>
    </row>
    <row r="1380" spans="1:2" x14ac:dyDescent="0.2">
      <c r="A1380" t="s">
        <v>3157</v>
      </c>
      <c r="B1380" t="b">
        <v>0</v>
      </c>
    </row>
    <row r="1381" spans="1:2" x14ac:dyDescent="0.2">
      <c r="A1381" t="s">
        <v>3158</v>
      </c>
      <c r="B1381" t="b">
        <v>0</v>
      </c>
    </row>
    <row r="1382" spans="1:2" x14ac:dyDescent="0.2">
      <c r="A1382" t="s">
        <v>3159</v>
      </c>
      <c r="B1382" t="b">
        <v>0</v>
      </c>
    </row>
    <row r="1383" spans="1:2" x14ac:dyDescent="0.2">
      <c r="A1383" t="s">
        <v>3160</v>
      </c>
      <c r="B1383" t="b">
        <v>0</v>
      </c>
    </row>
    <row r="1384" spans="1:2" x14ac:dyDescent="0.2">
      <c r="A1384" t="s">
        <v>3161</v>
      </c>
      <c r="B1384" t="b">
        <v>0</v>
      </c>
    </row>
    <row r="1385" spans="1:2" x14ac:dyDescent="0.2">
      <c r="A1385" t="s">
        <v>3162</v>
      </c>
      <c r="B1385" t="b">
        <v>0</v>
      </c>
    </row>
    <row r="1386" spans="1:2" x14ac:dyDescent="0.2">
      <c r="A1386" t="s">
        <v>3163</v>
      </c>
      <c r="B1386" t="b">
        <v>0</v>
      </c>
    </row>
    <row r="1387" spans="1:2" x14ac:dyDescent="0.2">
      <c r="A1387" t="s">
        <v>3164</v>
      </c>
      <c r="B1387" t="b">
        <v>0</v>
      </c>
    </row>
    <row r="1388" spans="1:2" x14ac:dyDescent="0.2">
      <c r="A1388" t="s">
        <v>3165</v>
      </c>
      <c r="B1388" t="b">
        <v>0</v>
      </c>
    </row>
    <row r="1389" spans="1:2" x14ac:dyDescent="0.2">
      <c r="A1389" t="s">
        <v>3166</v>
      </c>
      <c r="B1389" t="b">
        <v>0</v>
      </c>
    </row>
    <row r="1390" spans="1:2" x14ac:dyDescent="0.2">
      <c r="A1390" t="s">
        <v>3167</v>
      </c>
      <c r="B1390" t="b">
        <v>0</v>
      </c>
    </row>
    <row r="1391" spans="1:2" x14ac:dyDescent="0.2">
      <c r="A1391" t="s">
        <v>3168</v>
      </c>
      <c r="B1391" t="b">
        <v>0</v>
      </c>
    </row>
    <row r="1392" spans="1:2" x14ac:dyDescent="0.2">
      <c r="A1392" t="s">
        <v>3169</v>
      </c>
      <c r="B1392" t="b">
        <v>0</v>
      </c>
    </row>
    <row r="1393" spans="1:2" x14ac:dyDescent="0.2">
      <c r="A1393" t="s">
        <v>3170</v>
      </c>
      <c r="B1393" t="b">
        <v>0</v>
      </c>
    </row>
    <row r="1394" spans="1:2" x14ac:dyDescent="0.2">
      <c r="A1394" t="s">
        <v>3171</v>
      </c>
      <c r="B1394" t="b">
        <v>0</v>
      </c>
    </row>
    <row r="1395" spans="1:2" x14ac:dyDescent="0.2">
      <c r="A1395" t="s">
        <v>3172</v>
      </c>
      <c r="B1395" t="b">
        <v>0</v>
      </c>
    </row>
    <row r="1396" spans="1:2" x14ac:dyDescent="0.2">
      <c r="A1396" t="s">
        <v>3173</v>
      </c>
      <c r="B1396" t="b">
        <v>0</v>
      </c>
    </row>
    <row r="1397" spans="1:2" x14ac:dyDescent="0.2">
      <c r="A1397" t="s">
        <v>3174</v>
      </c>
      <c r="B1397" t="b">
        <v>0</v>
      </c>
    </row>
    <row r="1398" spans="1:2" x14ac:dyDescent="0.2">
      <c r="A1398" t="s">
        <v>3175</v>
      </c>
      <c r="B1398" t="s">
        <v>4336</v>
      </c>
    </row>
    <row r="1399" spans="1:2" x14ac:dyDescent="0.2">
      <c r="A1399" t="s">
        <v>3176</v>
      </c>
      <c r="B1399" t="b">
        <v>0</v>
      </c>
    </row>
    <row r="1400" spans="1:2" x14ac:dyDescent="0.2">
      <c r="A1400" t="s">
        <v>3177</v>
      </c>
      <c r="B1400" t="b">
        <v>0</v>
      </c>
    </row>
    <row r="1401" spans="1:2" x14ac:dyDescent="0.2">
      <c r="A1401" t="s">
        <v>3178</v>
      </c>
      <c r="B1401" t="b">
        <v>0</v>
      </c>
    </row>
    <row r="1402" spans="1:2" x14ac:dyDescent="0.2">
      <c r="A1402" t="s">
        <v>3179</v>
      </c>
      <c r="B1402" t="b">
        <v>0</v>
      </c>
    </row>
    <row r="1403" spans="1:2" x14ac:dyDescent="0.2">
      <c r="A1403" t="s">
        <v>3180</v>
      </c>
      <c r="B1403" t="b">
        <v>0</v>
      </c>
    </row>
    <row r="1404" spans="1:2" x14ac:dyDescent="0.2">
      <c r="A1404" t="s">
        <v>3181</v>
      </c>
      <c r="B1404" t="b">
        <v>0</v>
      </c>
    </row>
    <row r="1405" spans="1:2" x14ac:dyDescent="0.2">
      <c r="A1405" t="s">
        <v>3182</v>
      </c>
      <c r="B1405" t="b">
        <v>0</v>
      </c>
    </row>
    <row r="1406" spans="1:2" x14ac:dyDescent="0.2">
      <c r="A1406" t="s">
        <v>3183</v>
      </c>
      <c r="B1406" t="b">
        <v>0</v>
      </c>
    </row>
    <row r="1407" spans="1:2" x14ac:dyDescent="0.2">
      <c r="A1407" t="s">
        <v>3184</v>
      </c>
      <c r="B1407" t="b">
        <v>0</v>
      </c>
    </row>
    <row r="1408" spans="1:2" x14ac:dyDescent="0.2">
      <c r="A1408" t="s">
        <v>3185</v>
      </c>
      <c r="B1408" t="b">
        <v>0</v>
      </c>
    </row>
    <row r="1409" spans="1:2" x14ac:dyDescent="0.2">
      <c r="A1409" t="s">
        <v>3186</v>
      </c>
      <c r="B1409" t="b">
        <v>0</v>
      </c>
    </row>
    <row r="1410" spans="1:2" x14ac:dyDescent="0.2">
      <c r="A1410" t="s">
        <v>3187</v>
      </c>
      <c r="B1410" t="b">
        <v>0</v>
      </c>
    </row>
    <row r="1411" spans="1:2" x14ac:dyDescent="0.2">
      <c r="A1411" t="s">
        <v>3188</v>
      </c>
      <c r="B1411" t="b">
        <v>0</v>
      </c>
    </row>
    <row r="1412" spans="1:2" x14ac:dyDescent="0.2">
      <c r="A1412" t="s">
        <v>3189</v>
      </c>
      <c r="B1412" t="b">
        <v>0</v>
      </c>
    </row>
    <row r="1413" spans="1:2" x14ac:dyDescent="0.2">
      <c r="A1413" t="s">
        <v>3190</v>
      </c>
      <c r="B1413" t="b">
        <v>0</v>
      </c>
    </row>
    <row r="1414" spans="1:2" x14ac:dyDescent="0.2">
      <c r="A1414" t="s">
        <v>3191</v>
      </c>
      <c r="B1414" t="b">
        <v>0</v>
      </c>
    </row>
    <row r="1415" spans="1:2" x14ac:dyDescent="0.2">
      <c r="A1415" t="s">
        <v>3192</v>
      </c>
      <c r="B1415" t="b">
        <v>0</v>
      </c>
    </row>
    <row r="1416" spans="1:2" x14ac:dyDescent="0.2">
      <c r="A1416" t="s">
        <v>3193</v>
      </c>
      <c r="B1416" t="b">
        <v>0</v>
      </c>
    </row>
    <row r="1417" spans="1:2" x14ac:dyDescent="0.2">
      <c r="A1417" t="s">
        <v>3194</v>
      </c>
      <c r="B1417" t="b">
        <v>0</v>
      </c>
    </row>
    <row r="1418" spans="1:2" x14ac:dyDescent="0.2">
      <c r="A1418" t="s">
        <v>3195</v>
      </c>
      <c r="B1418" t="b">
        <v>0</v>
      </c>
    </row>
    <row r="1419" spans="1:2" x14ac:dyDescent="0.2">
      <c r="A1419" t="s">
        <v>3196</v>
      </c>
      <c r="B1419" t="b">
        <v>0</v>
      </c>
    </row>
    <row r="1420" spans="1:2" x14ac:dyDescent="0.2">
      <c r="A1420" t="s">
        <v>3197</v>
      </c>
      <c r="B1420" t="b">
        <v>0</v>
      </c>
    </row>
    <row r="1421" spans="1:2" x14ac:dyDescent="0.2">
      <c r="A1421" t="s">
        <v>3198</v>
      </c>
      <c r="B1421" t="b">
        <v>0</v>
      </c>
    </row>
    <row r="1422" spans="1:2" x14ac:dyDescent="0.2">
      <c r="A1422" t="s">
        <v>3199</v>
      </c>
      <c r="B1422" t="b">
        <v>0</v>
      </c>
    </row>
    <row r="1423" spans="1:2" x14ac:dyDescent="0.2">
      <c r="A1423" t="s">
        <v>3200</v>
      </c>
      <c r="B1423" t="b">
        <v>0</v>
      </c>
    </row>
    <row r="1424" spans="1:2" x14ac:dyDescent="0.2">
      <c r="A1424" t="s">
        <v>3201</v>
      </c>
      <c r="B1424" t="b">
        <v>0</v>
      </c>
    </row>
    <row r="1425" spans="1:2" x14ac:dyDescent="0.2">
      <c r="A1425" t="s">
        <v>3202</v>
      </c>
      <c r="B1425" t="b">
        <v>0</v>
      </c>
    </row>
    <row r="1426" spans="1:2" x14ac:dyDescent="0.2">
      <c r="A1426" t="s">
        <v>3203</v>
      </c>
      <c r="B1426" t="b">
        <v>0</v>
      </c>
    </row>
    <row r="1427" spans="1:2" x14ac:dyDescent="0.2">
      <c r="A1427" t="s">
        <v>3204</v>
      </c>
      <c r="B1427" t="b">
        <v>0</v>
      </c>
    </row>
    <row r="1428" spans="1:2" x14ac:dyDescent="0.2">
      <c r="A1428" t="s">
        <v>3205</v>
      </c>
      <c r="B1428" t="b">
        <v>0</v>
      </c>
    </row>
    <row r="1429" spans="1:2" x14ac:dyDescent="0.2">
      <c r="A1429" t="s">
        <v>3206</v>
      </c>
      <c r="B1429" t="b">
        <v>0</v>
      </c>
    </row>
    <row r="1430" spans="1:2" x14ac:dyDescent="0.2">
      <c r="A1430" t="s">
        <v>3207</v>
      </c>
      <c r="B1430" t="b">
        <v>0</v>
      </c>
    </row>
    <row r="1431" spans="1:2" x14ac:dyDescent="0.2">
      <c r="A1431" t="s">
        <v>3208</v>
      </c>
      <c r="B1431">
        <v>1</v>
      </c>
    </row>
    <row r="1432" spans="1:2" x14ac:dyDescent="0.2">
      <c r="A1432" t="s">
        <v>3209</v>
      </c>
      <c r="B1432">
        <v>1</v>
      </c>
    </row>
    <row r="1433" spans="1:2" x14ac:dyDescent="0.2">
      <c r="A1433" t="s">
        <v>3210</v>
      </c>
      <c r="B1433">
        <v>1</v>
      </c>
    </row>
    <row r="1434" spans="1:2" x14ac:dyDescent="0.2">
      <c r="A1434" t="s">
        <v>3211</v>
      </c>
      <c r="B1434">
        <v>1</v>
      </c>
    </row>
    <row r="1435" spans="1:2" x14ac:dyDescent="0.2">
      <c r="A1435" t="s">
        <v>3212</v>
      </c>
      <c r="B1435">
        <v>1</v>
      </c>
    </row>
    <row r="1436" spans="1:2" x14ac:dyDescent="0.2">
      <c r="A1436" t="s">
        <v>3213</v>
      </c>
      <c r="B1436">
        <v>1</v>
      </c>
    </row>
    <row r="1437" spans="1:2" x14ac:dyDescent="0.2">
      <c r="A1437" t="s">
        <v>3214</v>
      </c>
      <c r="B1437">
        <v>1</v>
      </c>
    </row>
    <row r="1438" spans="1:2" x14ac:dyDescent="0.2">
      <c r="A1438" t="s">
        <v>3215</v>
      </c>
      <c r="B1438">
        <v>1</v>
      </c>
    </row>
    <row r="1439" spans="1:2" x14ac:dyDescent="0.2">
      <c r="A1439" t="s">
        <v>3216</v>
      </c>
      <c r="B1439">
        <v>1</v>
      </c>
    </row>
    <row r="1440" spans="1:2" x14ac:dyDescent="0.2">
      <c r="A1440" t="s">
        <v>3217</v>
      </c>
      <c r="B1440">
        <v>1</v>
      </c>
    </row>
    <row r="1441" spans="1:2" x14ac:dyDescent="0.2">
      <c r="A1441" t="s">
        <v>3218</v>
      </c>
      <c r="B1441">
        <v>1</v>
      </c>
    </row>
    <row r="1442" spans="1:2" x14ac:dyDescent="0.2">
      <c r="A1442" t="s">
        <v>3219</v>
      </c>
      <c r="B1442">
        <v>1</v>
      </c>
    </row>
    <row r="1443" spans="1:2" x14ac:dyDescent="0.2">
      <c r="A1443" t="s">
        <v>3220</v>
      </c>
      <c r="B1443">
        <v>1</v>
      </c>
    </row>
    <row r="1444" spans="1:2" x14ac:dyDescent="0.2">
      <c r="A1444" t="s">
        <v>3221</v>
      </c>
      <c r="B1444">
        <v>1</v>
      </c>
    </row>
    <row r="1445" spans="1:2" x14ac:dyDescent="0.2">
      <c r="A1445" t="s">
        <v>3222</v>
      </c>
      <c r="B1445">
        <v>1</v>
      </c>
    </row>
    <row r="1446" spans="1:2" x14ac:dyDescent="0.2">
      <c r="A1446" t="s">
        <v>4074</v>
      </c>
      <c r="B1446" t="s">
        <v>4336</v>
      </c>
    </row>
    <row r="1447" spans="1:2" x14ac:dyDescent="0.2">
      <c r="A1447" t="s">
        <v>4075</v>
      </c>
      <c r="B1447" t="s">
        <v>4336</v>
      </c>
    </row>
    <row r="1448" spans="1:2" x14ac:dyDescent="0.2">
      <c r="A1448" t="s">
        <v>4076</v>
      </c>
      <c r="B1448" t="s">
        <v>4336</v>
      </c>
    </row>
    <row r="1449" spans="1:2" x14ac:dyDescent="0.2">
      <c r="A1449" t="s">
        <v>4077</v>
      </c>
      <c r="B1449" t="s">
        <v>4336</v>
      </c>
    </row>
    <row r="1450" spans="1:2" x14ac:dyDescent="0.2">
      <c r="A1450" t="s">
        <v>4078</v>
      </c>
      <c r="B1450" t="s">
        <v>4336</v>
      </c>
    </row>
    <row r="1451" spans="1:2" x14ac:dyDescent="0.2">
      <c r="A1451" t="s">
        <v>3223</v>
      </c>
      <c r="B1451">
        <v>1</v>
      </c>
    </row>
    <row r="1452" spans="1:2" x14ac:dyDescent="0.2">
      <c r="A1452" t="s">
        <v>3224</v>
      </c>
      <c r="B1452">
        <v>1</v>
      </c>
    </row>
    <row r="1453" spans="1:2" x14ac:dyDescent="0.2">
      <c r="A1453" t="s">
        <v>3225</v>
      </c>
      <c r="B1453">
        <v>1</v>
      </c>
    </row>
    <row r="1454" spans="1:2" x14ac:dyDescent="0.2">
      <c r="A1454" t="s">
        <v>3226</v>
      </c>
      <c r="B1454">
        <v>1</v>
      </c>
    </row>
    <row r="1455" spans="1:2" x14ac:dyDescent="0.2">
      <c r="A1455" t="s">
        <v>3227</v>
      </c>
      <c r="B1455">
        <v>1</v>
      </c>
    </row>
    <row r="1456" spans="1:2" x14ac:dyDescent="0.2">
      <c r="A1456" t="s">
        <v>3228</v>
      </c>
      <c r="B1456">
        <v>1</v>
      </c>
    </row>
    <row r="1457" spans="1:2" x14ac:dyDescent="0.2">
      <c r="A1457" t="s">
        <v>3229</v>
      </c>
      <c r="B1457">
        <v>1</v>
      </c>
    </row>
    <row r="1458" spans="1:2" x14ac:dyDescent="0.2">
      <c r="A1458" t="s">
        <v>3230</v>
      </c>
      <c r="B1458">
        <v>1</v>
      </c>
    </row>
    <row r="1459" spans="1:2" x14ac:dyDescent="0.2">
      <c r="A1459" t="s">
        <v>3231</v>
      </c>
      <c r="B1459">
        <v>1</v>
      </c>
    </row>
    <row r="1460" spans="1:2" x14ac:dyDescent="0.2">
      <c r="A1460" t="s">
        <v>3232</v>
      </c>
      <c r="B1460">
        <v>1</v>
      </c>
    </row>
    <row r="1461" spans="1:2" x14ac:dyDescent="0.2">
      <c r="A1461" t="s">
        <v>3233</v>
      </c>
      <c r="B1461">
        <v>1</v>
      </c>
    </row>
    <row r="1462" spans="1:2" x14ac:dyDescent="0.2">
      <c r="A1462" t="s">
        <v>3234</v>
      </c>
      <c r="B1462">
        <v>1</v>
      </c>
    </row>
    <row r="1463" spans="1:2" x14ac:dyDescent="0.2">
      <c r="A1463" t="s">
        <v>3235</v>
      </c>
      <c r="B1463">
        <v>1</v>
      </c>
    </row>
    <row r="1464" spans="1:2" x14ac:dyDescent="0.2">
      <c r="A1464" t="s">
        <v>3236</v>
      </c>
      <c r="B1464">
        <v>1</v>
      </c>
    </row>
    <row r="1465" spans="1:2" x14ac:dyDescent="0.2">
      <c r="A1465" t="s">
        <v>3237</v>
      </c>
      <c r="B1465">
        <v>1</v>
      </c>
    </row>
    <row r="1466" spans="1:2" x14ac:dyDescent="0.2">
      <c r="A1466" t="s">
        <v>4079</v>
      </c>
      <c r="B1466">
        <v>1</v>
      </c>
    </row>
    <row r="1467" spans="1:2" x14ac:dyDescent="0.2">
      <c r="A1467" t="s">
        <v>4080</v>
      </c>
      <c r="B1467">
        <v>1</v>
      </c>
    </row>
    <row r="1468" spans="1:2" x14ac:dyDescent="0.2">
      <c r="A1468" t="s">
        <v>4081</v>
      </c>
      <c r="B1468">
        <v>1</v>
      </c>
    </row>
    <row r="1469" spans="1:2" x14ac:dyDescent="0.2">
      <c r="A1469" t="s">
        <v>4082</v>
      </c>
      <c r="B1469">
        <v>1</v>
      </c>
    </row>
    <row r="1470" spans="1:2" x14ac:dyDescent="0.2">
      <c r="A1470" t="s">
        <v>4083</v>
      </c>
      <c r="B1470">
        <v>1</v>
      </c>
    </row>
    <row r="1471" spans="1:2" x14ac:dyDescent="0.2">
      <c r="A1471" t="s">
        <v>3238</v>
      </c>
      <c r="B1471">
        <v>0</v>
      </c>
    </row>
    <row r="1472" spans="1:2" x14ac:dyDescent="0.2">
      <c r="A1472" t="s">
        <v>3239</v>
      </c>
      <c r="B1472">
        <v>0</v>
      </c>
    </row>
    <row r="1473" spans="1:2" x14ac:dyDescent="0.2">
      <c r="A1473" t="s">
        <v>3240</v>
      </c>
      <c r="B1473">
        <v>0</v>
      </c>
    </row>
    <row r="1474" spans="1:2" x14ac:dyDescent="0.2">
      <c r="A1474" t="s">
        <v>3241</v>
      </c>
      <c r="B1474">
        <v>0</v>
      </c>
    </row>
    <row r="1475" spans="1:2" x14ac:dyDescent="0.2">
      <c r="A1475" t="s">
        <v>3242</v>
      </c>
      <c r="B1475">
        <v>0</v>
      </c>
    </row>
    <row r="1476" spans="1:2" x14ac:dyDescent="0.2">
      <c r="A1476" t="s">
        <v>3243</v>
      </c>
      <c r="B1476">
        <v>0</v>
      </c>
    </row>
    <row r="1477" spans="1:2" x14ac:dyDescent="0.2">
      <c r="A1477" t="s">
        <v>3244</v>
      </c>
      <c r="B1477">
        <v>0</v>
      </c>
    </row>
    <row r="1478" spans="1:2" x14ac:dyDescent="0.2">
      <c r="A1478" t="s">
        <v>3245</v>
      </c>
      <c r="B1478">
        <v>0</v>
      </c>
    </row>
    <row r="1479" spans="1:2" x14ac:dyDescent="0.2">
      <c r="A1479" t="s">
        <v>3246</v>
      </c>
      <c r="B1479">
        <v>0</v>
      </c>
    </row>
    <row r="1480" spans="1:2" x14ac:dyDescent="0.2">
      <c r="A1480" t="s">
        <v>3247</v>
      </c>
      <c r="B1480">
        <v>0</v>
      </c>
    </row>
    <row r="1481" spans="1:2" x14ac:dyDescent="0.2">
      <c r="A1481" t="s">
        <v>3248</v>
      </c>
      <c r="B1481">
        <v>0</v>
      </c>
    </row>
    <row r="1482" spans="1:2" x14ac:dyDescent="0.2">
      <c r="A1482" t="s">
        <v>3249</v>
      </c>
      <c r="B1482">
        <v>0</v>
      </c>
    </row>
    <row r="1483" spans="1:2" x14ac:dyDescent="0.2">
      <c r="A1483" t="s">
        <v>3250</v>
      </c>
      <c r="B1483">
        <v>0</v>
      </c>
    </row>
    <row r="1484" spans="1:2" x14ac:dyDescent="0.2">
      <c r="A1484" t="s">
        <v>3251</v>
      </c>
      <c r="B1484">
        <v>0</v>
      </c>
    </row>
    <row r="1485" spans="1:2" x14ac:dyDescent="0.2">
      <c r="A1485" t="s">
        <v>3252</v>
      </c>
      <c r="B1485">
        <v>0</v>
      </c>
    </row>
    <row r="1486" spans="1:2" x14ac:dyDescent="0.2">
      <c r="A1486" t="s">
        <v>4085</v>
      </c>
      <c r="B1486">
        <v>0</v>
      </c>
    </row>
    <row r="1487" spans="1:2" x14ac:dyDescent="0.2">
      <c r="A1487" t="s">
        <v>4087</v>
      </c>
      <c r="B1487">
        <v>0</v>
      </c>
    </row>
    <row r="1488" spans="1:2" x14ac:dyDescent="0.2">
      <c r="A1488" t="s">
        <v>4088</v>
      </c>
      <c r="B1488">
        <v>0</v>
      </c>
    </row>
    <row r="1489" spans="1:2" x14ac:dyDescent="0.2">
      <c r="A1489" t="s">
        <v>4090</v>
      </c>
      <c r="B1489">
        <v>0</v>
      </c>
    </row>
    <row r="1490" spans="1:2" x14ac:dyDescent="0.2">
      <c r="A1490" t="s">
        <v>4092</v>
      </c>
      <c r="B1490">
        <v>0</v>
      </c>
    </row>
    <row r="1491" spans="1:2" x14ac:dyDescent="0.2">
      <c r="A1491" t="s">
        <v>3253</v>
      </c>
      <c r="B1491" t="s">
        <v>4336</v>
      </c>
    </row>
    <row r="1492" spans="1:2" x14ac:dyDescent="0.2">
      <c r="A1492" t="s">
        <v>3254</v>
      </c>
      <c r="B1492">
        <v>0</v>
      </c>
    </row>
    <row r="1493" spans="1:2" x14ac:dyDescent="0.2">
      <c r="A1493" t="s">
        <v>3255</v>
      </c>
      <c r="B1493">
        <v>0</v>
      </c>
    </row>
    <row r="1494" spans="1:2" x14ac:dyDescent="0.2">
      <c r="A1494" t="s">
        <v>3256</v>
      </c>
      <c r="B1494">
        <v>0</v>
      </c>
    </row>
    <row r="1495" spans="1:2" x14ac:dyDescent="0.2">
      <c r="A1495" t="s">
        <v>3257</v>
      </c>
      <c r="B1495">
        <v>0</v>
      </c>
    </row>
    <row r="1496" spans="1:2" x14ac:dyDescent="0.2">
      <c r="A1496" t="s">
        <v>3258</v>
      </c>
      <c r="B1496">
        <v>0</v>
      </c>
    </row>
    <row r="1497" spans="1:2" x14ac:dyDescent="0.2">
      <c r="A1497" t="s">
        <v>3259</v>
      </c>
      <c r="B1497">
        <v>0</v>
      </c>
    </row>
    <row r="1498" spans="1:2" x14ac:dyDescent="0.2">
      <c r="A1498" t="s">
        <v>3260</v>
      </c>
      <c r="B1498">
        <v>0</v>
      </c>
    </row>
    <row r="1499" spans="1:2" x14ac:dyDescent="0.2">
      <c r="A1499" t="s">
        <v>3261</v>
      </c>
      <c r="B1499">
        <v>0</v>
      </c>
    </row>
    <row r="1500" spans="1:2" x14ac:dyDescent="0.2">
      <c r="A1500" t="s">
        <v>3262</v>
      </c>
      <c r="B1500">
        <v>0</v>
      </c>
    </row>
    <row r="1501" spans="1:2" x14ac:dyDescent="0.2">
      <c r="A1501" t="s">
        <v>3263</v>
      </c>
      <c r="B1501">
        <v>0</v>
      </c>
    </row>
    <row r="1502" spans="1:2" x14ac:dyDescent="0.2">
      <c r="A1502" t="s">
        <v>3264</v>
      </c>
      <c r="B1502">
        <v>0</v>
      </c>
    </row>
    <row r="1503" spans="1:2" x14ac:dyDescent="0.2">
      <c r="A1503" t="s">
        <v>3265</v>
      </c>
      <c r="B1503">
        <v>0</v>
      </c>
    </row>
    <row r="1504" spans="1:2" x14ac:dyDescent="0.2">
      <c r="A1504" t="s">
        <v>3266</v>
      </c>
      <c r="B1504">
        <v>0</v>
      </c>
    </row>
    <row r="1505" spans="1:2" x14ac:dyDescent="0.2">
      <c r="A1505" t="s">
        <v>3267</v>
      </c>
      <c r="B1505">
        <v>0</v>
      </c>
    </row>
    <row r="1506" spans="1:2" x14ac:dyDescent="0.2">
      <c r="A1506" t="s">
        <v>3268</v>
      </c>
      <c r="B1506">
        <v>0</v>
      </c>
    </row>
    <row r="1507" spans="1:2" x14ac:dyDescent="0.2">
      <c r="A1507" t="s">
        <v>4093</v>
      </c>
      <c r="B1507">
        <v>0</v>
      </c>
    </row>
    <row r="1508" spans="1:2" x14ac:dyDescent="0.2">
      <c r="A1508" t="s">
        <v>4094</v>
      </c>
      <c r="B1508">
        <v>0</v>
      </c>
    </row>
    <row r="1509" spans="1:2" x14ac:dyDescent="0.2">
      <c r="A1509" t="s">
        <v>4095</v>
      </c>
      <c r="B1509">
        <v>0</v>
      </c>
    </row>
    <row r="1510" spans="1:2" x14ac:dyDescent="0.2">
      <c r="A1510" t="s">
        <v>4096</v>
      </c>
      <c r="B1510">
        <v>0</v>
      </c>
    </row>
    <row r="1511" spans="1:2" x14ac:dyDescent="0.2">
      <c r="A1511" t="s">
        <v>4097</v>
      </c>
      <c r="B1511">
        <v>0</v>
      </c>
    </row>
    <row r="1512" spans="1:2" x14ac:dyDescent="0.2">
      <c r="A1512" t="s">
        <v>3269</v>
      </c>
      <c r="B1512">
        <v>0</v>
      </c>
    </row>
    <row r="1513" spans="1:2" x14ac:dyDescent="0.2">
      <c r="A1513" t="s">
        <v>3270</v>
      </c>
      <c r="B1513">
        <v>0</v>
      </c>
    </row>
    <row r="1514" spans="1:2" x14ac:dyDescent="0.2">
      <c r="A1514" t="s">
        <v>3271</v>
      </c>
      <c r="B1514">
        <v>0</v>
      </c>
    </row>
    <row r="1515" spans="1:2" x14ac:dyDescent="0.2">
      <c r="A1515" t="s">
        <v>3272</v>
      </c>
      <c r="B1515">
        <v>0</v>
      </c>
    </row>
    <row r="1516" spans="1:2" x14ac:dyDescent="0.2">
      <c r="A1516" t="s">
        <v>3273</v>
      </c>
      <c r="B1516">
        <v>0</v>
      </c>
    </row>
    <row r="1517" spans="1:2" x14ac:dyDescent="0.2">
      <c r="A1517" t="s">
        <v>3274</v>
      </c>
      <c r="B1517">
        <v>0</v>
      </c>
    </row>
    <row r="1518" spans="1:2" x14ac:dyDescent="0.2">
      <c r="A1518" t="s">
        <v>3275</v>
      </c>
      <c r="B1518">
        <v>0</v>
      </c>
    </row>
    <row r="1519" spans="1:2" x14ac:dyDescent="0.2">
      <c r="A1519" t="s">
        <v>3276</v>
      </c>
      <c r="B1519">
        <v>0</v>
      </c>
    </row>
    <row r="1520" spans="1:2" x14ac:dyDescent="0.2">
      <c r="A1520" t="s">
        <v>3277</v>
      </c>
      <c r="B1520">
        <v>0</v>
      </c>
    </row>
    <row r="1521" spans="1:2" x14ac:dyDescent="0.2">
      <c r="A1521" t="s">
        <v>3278</v>
      </c>
      <c r="B1521">
        <v>0</v>
      </c>
    </row>
    <row r="1522" spans="1:2" x14ac:dyDescent="0.2">
      <c r="A1522" t="s">
        <v>3279</v>
      </c>
      <c r="B1522">
        <v>0</v>
      </c>
    </row>
    <row r="1523" spans="1:2" x14ac:dyDescent="0.2">
      <c r="A1523" t="s">
        <v>3280</v>
      </c>
      <c r="B1523">
        <v>0</v>
      </c>
    </row>
    <row r="1524" spans="1:2" x14ac:dyDescent="0.2">
      <c r="A1524" t="s">
        <v>3281</v>
      </c>
      <c r="B1524">
        <v>0</v>
      </c>
    </row>
    <row r="1525" spans="1:2" x14ac:dyDescent="0.2">
      <c r="A1525" t="s">
        <v>3282</v>
      </c>
      <c r="B1525">
        <v>0</v>
      </c>
    </row>
    <row r="1526" spans="1:2" x14ac:dyDescent="0.2">
      <c r="A1526" t="s">
        <v>3283</v>
      </c>
      <c r="B1526">
        <v>0</v>
      </c>
    </row>
    <row r="1527" spans="1:2" x14ac:dyDescent="0.2">
      <c r="A1527" t="s">
        <v>4099</v>
      </c>
      <c r="B1527">
        <v>0</v>
      </c>
    </row>
    <row r="1528" spans="1:2" x14ac:dyDescent="0.2">
      <c r="A1528" t="s">
        <v>4101</v>
      </c>
      <c r="B1528">
        <v>0</v>
      </c>
    </row>
    <row r="1529" spans="1:2" x14ac:dyDescent="0.2">
      <c r="A1529" t="s">
        <v>4102</v>
      </c>
      <c r="B1529">
        <v>0</v>
      </c>
    </row>
    <row r="1530" spans="1:2" x14ac:dyDescent="0.2">
      <c r="A1530" t="s">
        <v>4104</v>
      </c>
      <c r="B1530">
        <v>0</v>
      </c>
    </row>
    <row r="1531" spans="1:2" x14ac:dyDescent="0.2">
      <c r="A1531" t="s">
        <v>4106</v>
      </c>
      <c r="B1531">
        <v>0</v>
      </c>
    </row>
    <row r="1532" spans="1:2" x14ac:dyDescent="0.2">
      <c r="A1532" t="s">
        <v>3284</v>
      </c>
      <c r="B1532">
        <v>1</v>
      </c>
    </row>
    <row r="1533" spans="1:2" x14ac:dyDescent="0.2">
      <c r="A1533" t="s">
        <v>3285</v>
      </c>
      <c r="B1533">
        <v>1</v>
      </c>
    </row>
    <row r="1534" spans="1:2" x14ac:dyDescent="0.2">
      <c r="A1534" t="s">
        <v>3286</v>
      </c>
      <c r="B1534">
        <v>2</v>
      </c>
    </row>
    <row r="1535" spans="1:2" x14ac:dyDescent="0.2">
      <c r="A1535" t="s">
        <v>3287</v>
      </c>
      <c r="B1535">
        <v>20</v>
      </c>
    </row>
    <row r="1536" spans="1:2" x14ac:dyDescent="0.2">
      <c r="A1536" t="s">
        <v>3288</v>
      </c>
      <c r="B1536">
        <v>30</v>
      </c>
    </row>
    <row r="1537" spans="1:2" x14ac:dyDescent="0.2">
      <c r="A1537" t="s">
        <v>3289</v>
      </c>
      <c r="B1537">
        <v>1</v>
      </c>
    </row>
    <row r="1538" spans="1:2" x14ac:dyDescent="0.2">
      <c r="A1538" t="s">
        <v>3290</v>
      </c>
      <c r="B1538">
        <v>1</v>
      </c>
    </row>
    <row r="1539" spans="1:2" x14ac:dyDescent="0.2">
      <c r="A1539" t="s">
        <v>3291</v>
      </c>
      <c r="B1539">
        <v>10</v>
      </c>
    </row>
    <row r="1540" spans="1:2" x14ac:dyDescent="0.2">
      <c r="A1540" t="s">
        <v>3292</v>
      </c>
      <c r="B1540" t="b">
        <v>0</v>
      </c>
    </row>
    <row r="1541" spans="1:2" x14ac:dyDescent="0.2">
      <c r="A1541" t="s">
        <v>3293</v>
      </c>
      <c r="B1541">
        <v>0</v>
      </c>
    </row>
    <row r="1542" spans="1:2" x14ac:dyDescent="0.2">
      <c r="A1542" t="s">
        <v>3294</v>
      </c>
      <c r="B1542" t="b">
        <v>0</v>
      </c>
    </row>
    <row r="1543" spans="1:2" x14ac:dyDescent="0.2">
      <c r="A1543" t="s">
        <v>3295</v>
      </c>
      <c r="B1543" t="b">
        <v>0</v>
      </c>
    </row>
    <row r="1544" spans="1:2" x14ac:dyDescent="0.2">
      <c r="A1544" t="s">
        <v>3296</v>
      </c>
      <c r="B1544">
        <v>0</v>
      </c>
    </row>
    <row r="1545" spans="1:2" x14ac:dyDescent="0.2">
      <c r="A1545" t="s">
        <v>3297</v>
      </c>
      <c r="B1545">
        <v>0</v>
      </c>
    </row>
    <row r="1546" spans="1:2" x14ac:dyDescent="0.2">
      <c r="A1546" t="s">
        <v>3298</v>
      </c>
      <c r="B1546">
        <v>1</v>
      </c>
    </row>
    <row r="1547" spans="1:2" x14ac:dyDescent="0.2">
      <c r="A1547" t="s">
        <v>3299</v>
      </c>
      <c r="B1547" t="b">
        <v>0</v>
      </c>
    </row>
    <row r="1548" spans="1:2" x14ac:dyDescent="0.2">
      <c r="A1548" t="s">
        <v>3300</v>
      </c>
      <c r="B1548">
        <v>0</v>
      </c>
    </row>
    <row r="1549" spans="1:2" x14ac:dyDescent="0.2">
      <c r="A1549" t="s">
        <v>3301</v>
      </c>
      <c r="B1549">
        <v>0</v>
      </c>
    </row>
    <row r="1550" spans="1:2" x14ac:dyDescent="0.2">
      <c r="A1550" t="s">
        <v>3302</v>
      </c>
      <c r="B1550" t="b">
        <v>0</v>
      </c>
    </row>
    <row r="1551" spans="1:2" x14ac:dyDescent="0.2">
      <c r="A1551" t="s">
        <v>3303</v>
      </c>
      <c r="B1551">
        <v>0</v>
      </c>
    </row>
    <row r="1552" spans="1:2" x14ac:dyDescent="0.2">
      <c r="A1552" t="s">
        <v>3304</v>
      </c>
      <c r="B1552" t="b">
        <v>0</v>
      </c>
    </row>
    <row r="1553" spans="1:2" x14ac:dyDescent="0.2">
      <c r="A1553" t="s">
        <v>3305</v>
      </c>
      <c r="B1553" t="b">
        <v>0</v>
      </c>
    </row>
    <row r="1554" spans="1:2" x14ac:dyDescent="0.2">
      <c r="A1554" t="s">
        <v>3306</v>
      </c>
      <c r="B1554">
        <v>0</v>
      </c>
    </row>
    <row r="1555" spans="1:2" x14ac:dyDescent="0.2">
      <c r="A1555" t="s">
        <v>3307</v>
      </c>
      <c r="B1555">
        <v>0</v>
      </c>
    </row>
    <row r="1556" spans="1:2" x14ac:dyDescent="0.2">
      <c r="A1556" t="s">
        <v>3308</v>
      </c>
      <c r="B1556">
        <v>0</v>
      </c>
    </row>
    <row r="1557" spans="1:2" x14ac:dyDescent="0.2">
      <c r="A1557" t="s">
        <v>3309</v>
      </c>
      <c r="B1557">
        <v>0</v>
      </c>
    </row>
    <row r="1558" spans="1:2" x14ac:dyDescent="0.2">
      <c r="A1558" t="s">
        <v>3310</v>
      </c>
      <c r="B1558">
        <v>0</v>
      </c>
    </row>
    <row r="1559" spans="1:2" x14ac:dyDescent="0.2">
      <c r="A1559" t="s">
        <v>3311</v>
      </c>
      <c r="B1559" t="b">
        <v>0</v>
      </c>
    </row>
    <row r="1560" spans="1:2" x14ac:dyDescent="0.2">
      <c r="A1560" t="s">
        <v>3312</v>
      </c>
      <c r="B1560">
        <v>1</v>
      </c>
    </row>
    <row r="1561" spans="1:2" x14ac:dyDescent="0.2">
      <c r="A1561" t="s">
        <v>3313</v>
      </c>
      <c r="B1561">
        <v>1</v>
      </c>
    </row>
    <row r="1562" spans="1:2" x14ac:dyDescent="0.2">
      <c r="A1562" t="s">
        <v>3314</v>
      </c>
      <c r="B1562">
        <v>0</v>
      </c>
    </row>
    <row r="1563" spans="1:2" x14ac:dyDescent="0.2">
      <c r="A1563" t="s">
        <v>3315</v>
      </c>
      <c r="B1563">
        <v>1</v>
      </c>
    </row>
    <row r="1564" spans="1:2" x14ac:dyDescent="0.2">
      <c r="A1564" t="s">
        <v>3316</v>
      </c>
      <c r="B1564">
        <v>0</v>
      </c>
    </row>
    <row r="1565" spans="1:2" x14ac:dyDescent="0.2">
      <c r="A1565" t="s">
        <v>3317</v>
      </c>
      <c r="B1565" t="b">
        <v>0</v>
      </c>
    </row>
    <row r="1566" spans="1:2" x14ac:dyDescent="0.2">
      <c r="A1566" t="s">
        <v>3318</v>
      </c>
      <c r="B1566">
        <v>1</v>
      </c>
    </row>
    <row r="1567" spans="1:2" x14ac:dyDescent="0.2">
      <c r="A1567" t="s">
        <v>3319</v>
      </c>
      <c r="B156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zoomScaleNormal="100" workbookViewId="0">
      <selection activeCell="C1" sqref="C1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52" t="s">
        <v>289</v>
      </c>
      <c r="B1" s="129" t="s">
        <v>425</v>
      </c>
      <c r="C1" s="128" t="str">
        <f>PedPrtAfspr!F2&amp;" geb: "&amp;TEXT(PedPrtAfspr!F3,"dd-mmm-jj")&amp;". Gewicht: "&amp;ROUND(_Pat_Gewicht/10,1)&amp;" kg"</f>
        <v>,  geb: 01-Jan-jj. Gewicht: 0 kg</v>
      </c>
    </row>
    <row r="2" spans="1:3 4305:4305" x14ac:dyDescent="0.2">
      <c r="A2" t="s">
        <v>289</v>
      </c>
      <c r="B2" s="130" t="s">
        <v>426</v>
      </c>
      <c r="C2" s="128">
        <f>__2_AchterNaam</f>
        <v>0</v>
      </c>
      <c r="FIO2">
        <v>30</v>
      </c>
    </row>
    <row r="3" spans="1:3 4305:4305" x14ac:dyDescent="0.2">
      <c r="A3" t="s">
        <v>289</v>
      </c>
      <c r="B3" s="130" t="s">
        <v>427</v>
      </c>
      <c r="C3" s="128">
        <f>__3_VoorNaam</f>
        <v>0</v>
      </c>
    </row>
    <row r="4" spans="1:3 4305:4305" x14ac:dyDescent="0.2">
      <c r="A4" t="s">
        <v>289</v>
      </c>
      <c r="B4" s="130" t="s">
        <v>428</v>
      </c>
      <c r="C4" s="128" t="str">
        <f>TEXT(PedPrtAfspr!F3,"dd-mmm-jj")</f>
        <v>01-Jan-jj</v>
      </c>
    </row>
    <row r="5" spans="1:3 4305:4305" x14ac:dyDescent="0.2">
      <c r="A5" t="s">
        <v>289</v>
      </c>
      <c r="B5" s="130" t="s">
        <v>429</v>
      </c>
      <c r="C5" s="17">
        <f>__0_PatNum</f>
        <v>0</v>
      </c>
    </row>
    <row r="6" spans="1:3 4305:4305" x14ac:dyDescent="0.2">
      <c r="A6" s="352" t="s">
        <v>444</v>
      </c>
      <c r="B6" s="130" t="s">
        <v>425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444</v>
      </c>
      <c r="B7" s="130" t="s">
        <v>426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444</v>
      </c>
      <c r="B8" s="130" t="s">
        <v>427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444</v>
      </c>
      <c r="B9" s="129" t="s">
        <v>428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444</v>
      </c>
      <c r="B10" s="129" t="s">
        <v>429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444</v>
      </c>
      <c r="B11" s="129" t="s">
        <v>430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444</v>
      </c>
      <c r="B12" s="129" t="s">
        <v>431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444</v>
      </c>
      <c r="B13" s="129" t="s">
        <v>432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444</v>
      </c>
      <c r="B14" s="129" t="s">
        <v>433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444</v>
      </c>
      <c r="B15" s="129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444</v>
      </c>
      <c r="B16" s="129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444</v>
      </c>
      <c r="B17" s="129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444</v>
      </c>
      <c r="B18" s="129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444</v>
      </c>
      <c r="B19" s="129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444</v>
      </c>
      <c r="B20" s="129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444</v>
      </c>
      <c r="B21" s="129">
        <v>16</v>
      </c>
      <c r="C21" t="e">
        <f>IF(GlobBerOpm!#REF!&lt;&gt;0,PedPrtAfspr!C67&amp;" "&amp;GlobBerOpm!#REF!,"")</f>
        <v>#REF!</v>
      </c>
    </row>
    <row r="22" spans="1:6" x14ac:dyDescent="0.2">
      <c r="A22" t="s">
        <v>445</v>
      </c>
      <c r="B22" s="129" t="s">
        <v>425</v>
      </c>
      <c r="C22" t="str">
        <f>GlobBerMedDisc!AC2</f>
        <v/>
      </c>
    </row>
    <row r="23" spans="1:6" x14ac:dyDescent="0.2">
      <c r="A23" t="s">
        <v>445</v>
      </c>
      <c r="B23" s="129" t="s">
        <v>426</v>
      </c>
      <c r="C23" t="str">
        <f>GlobBerMedDisc!AC3</f>
        <v/>
      </c>
    </row>
    <row r="24" spans="1:6" x14ac:dyDescent="0.2">
      <c r="A24" t="s">
        <v>445</v>
      </c>
      <c r="B24" s="129" t="s">
        <v>427</v>
      </c>
      <c r="C24" t="str">
        <f>GlobBerMedDisc!AC4</f>
        <v/>
      </c>
    </row>
    <row r="25" spans="1:6" x14ac:dyDescent="0.2">
      <c r="A25" t="s">
        <v>445</v>
      </c>
      <c r="B25" s="129" t="s">
        <v>428</v>
      </c>
      <c r="C25" t="str">
        <f>GlobBerMedDisc!AC5</f>
        <v/>
      </c>
    </row>
    <row r="26" spans="1:6" x14ac:dyDescent="0.2">
      <c r="A26" t="s">
        <v>445</v>
      </c>
      <c r="B26" s="129" t="s">
        <v>429</v>
      </c>
      <c r="C26" t="str">
        <f>GlobBerMedDisc!AC6</f>
        <v/>
      </c>
    </row>
    <row r="27" spans="1:6" x14ac:dyDescent="0.2">
      <c r="A27" t="s">
        <v>445</v>
      </c>
      <c r="B27" s="129" t="s">
        <v>430</v>
      </c>
      <c r="C27" t="str">
        <f>GlobBerMedDisc!AC7</f>
        <v/>
      </c>
    </row>
    <row r="28" spans="1:6" x14ac:dyDescent="0.2">
      <c r="A28" t="s">
        <v>445</v>
      </c>
      <c r="B28" s="129" t="s">
        <v>431</v>
      </c>
      <c r="C28" t="str">
        <f>GlobBerMedDisc!AC8</f>
        <v/>
      </c>
    </row>
    <row r="29" spans="1:6" x14ac:dyDescent="0.2">
      <c r="A29" t="s">
        <v>445</v>
      </c>
      <c r="B29" s="129" t="s">
        <v>432</v>
      </c>
      <c r="C29" t="str">
        <f>GlobBerMedDisc!AC9</f>
        <v/>
      </c>
      <c r="E29" s="311"/>
      <c r="F29" s="314"/>
    </row>
    <row r="30" spans="1:6" x14ac:dyDescent="0.2">
      <c r="A30" t="s">
        <v>445</v>
      </c>
      <c r="B30" s="129" t="s">
        <v>433</v>
      </c>
      <c r="C30" t="str">
        <f>GlobBerMedDisc!AC10</f>
        <v/>
      </c>
    </row>
    <row r="31" spans="1:6" x14ac:dyDescent="0.2">
      <c r="A31" t="s">
        <v>445</v>
      </c>
      <c r="B31" s="129">
        <v>10</v>
      </c>
      <c r="C31" t="str">
        <f>GlobBerMedDisc!AC11</f>
        <v/>
      </c>
    </row>
    <row r="32" spans="1:6" x14ac:dyDescent="0.2">
      <c r="A32" t="s">
        <v>445</v>
      </c>
      <c r="B32" s="129">
        <v>11</v>
      </c>
      <c r="C32" t="str">
        <f>GlobBerMedDisc!AC12</f>
        <v/>
      </c>
    </row>
    <row r="33" spans="1:7" x14ac:dyDescent="0.2">
      <c r="A33" t="s">
        <v>445</v>
      </c>
      <c r="B33" s="129">
        <v>12</v>
      </c>
      <c r="C33" t="str">
        <f>GlobBerMedDisc!AC13</f>
        <v/>
      </c>
    </row>
    <row r="34" spans="1:7" x14ac:dyDescent="0.2">
      <c r="A34" t="s">
        <v>445</v>
      </c>
      <c r="B34" s="129">
        <v>13</v>
      </c>
      <c r="C34" t="str">
        <f>GlobBerMedDisc!AC14</f>
        <v/>
      </c>
    </row>
    <row r="35" spans="1:7" x14ac:dyDescent="0.2">
      <c r="A35" t="s">
        <v>445</v>
      </c>
      <c r="B35" s="129">
        <v>14</v>
      </c>
      <c r="C35" t="str">
        <f>GlobBerMedDisc!AC15</f>
        <v/>
      </c>
    </row>
    <row r="36" spans="1:7" x14ac:dyDescent="0.2">
      <c r="A36" t="s">
        <v>445</v>
      </c>
      <c r="B36" s="129">
        <v>15</v>
      </c>
      <c r="C36" t="str">
        <f>GlobBerMedDisc!AC16</f>
        <v/>
      </c>
    </row>
    <row r="37" spans="1:7" x14ac:dyDescent="0.2">
      <c r="A37" t="s">
        <v>445</v>
      </c>
      <c r="B37" s="129">
        <v>16</v>
      </c>
      <c r="C37" t="str">
        <f>GlobBerMedDisc!AC17</f>
        <v/>
      </c>
    </row>
    <row r="38" spans="1:7" x14ac:dyDescent="0.2">
      <c r="A38" t="s">
        <v>445</v>
      </c>
      <c r="B38" s="129">
        <v>17</v>
      </c>
      <c r="C38" t="str">
        <f>GlobBerMedDisc!AC18</f>
        <v/>
      </c>
    </row>
    <row r="39" spans="1:7" x14ac:dyDescent="0.2">
      <c r="A39" t="s">
        <v>445</v>
      </c>
      <c r="B39" s="129">
        <v>18</v>
      </c>
      <c r="C39" t="str">
        <f>GlobBerMedDisc!AC19</f>
        <v/>
      </c>
    </row>
    <row r="40" spans="1:7" x14ac:dyDescent="0.2">
      <c r="A40" t="s">
        <v>445</v>
      </c>
      <c r="B40" s="129">
        <v>19</v>
      </c>
      <c r="C40" t="str">
        <f>GlobBerMedDisc!AC20</f>
        <v/>
      </c>
    </row>
    <row r="41" spans="1:7" x14ac:dyDescent="0.2">
      <c r="A41" t="s">
        <v>445</v>
      </c>
      <c r="B41" s="129">
        <v>20</v>
      </c>
      <c r="C41" t="str">
        <f>GlobBerMedDisc!AC21</f>
        <v/>
      </c>
    </row>
    <row r="42" spans="1:7" x14ac:dyDescent="0.2">
      <c r="A42" s="311" t="s">
        <v>445</v>
      </c>
      <c r="B42" s="314">
        <v>21</v>
      </c>
      <c r="C42" s="311" t="str">
        <f>GlobBerMedDisc!AC22</f>
        <v/>
      </c>
      <c r="F42" s="311"/>
      <c r="G42" s="311"/>
    </row>
    <row r="43" spans="1:7" x14ac:dyDescent="0.2">
      <c r="A43" s="311" t="s">
        <v>445</v>
      </c>
      <c r="B43" s="314">
        <v>22</v>
      </c>
      <c r="C43" s="311" t="str">
        <f>GlobBerMedDisc!AC23</f>
        <v/>
      </c>
      <c r="F43" s="311"/>
      <c r="G43" s="311"/>
    </row>
    <row r="44" spans="1:7" s="311" customFormat="1" x14ac:dyDescent="0.2">
      <c r="A44" s="311" t="s">
        <v>445</v>
      </c>
      <c r="B44" s="314">
        <v>23</v>
      </c>
      <c r="C44" s="311" t="str">
        <f>GlobBerMedDisc!AC24</f>
        <v/>
      </c>
      <c r="D44"/>
      <c r="E44"/>
    </row>
    <row r="45" spans="1:7" x14ac:dyDescent="0.2">
      <c r="A45" s="311" t="s">
        <v>445</v>
      </c>
      <c r="B45" s="314">
        <v>24</v>
      </c>
      <c r="C45" s="311" t="str">
        <f>GlobBerMedDisc!AC25</f>
        <v/>
      </c>
      <c r="F45" s="311"/>
      <c r="G45" s="311"/>
    </row>
    <row r="46" spans="1:7" x14ac:dyDescent="0.2">
      <c r="A46" s="311" t="s">
        <v>445</v>
      </c>
      <c r="B46" s="314">
        <v>25</v>
      </c>
      <c r="C46" s="311" t="str">
        <f>GlobBerMedDisc!AC26</f>
        <v/>
      </c>
    </row>
    <row r="47" spans="1:7" x14ac:dyDescent="0.2">
      <c r="A47" s="311" t="s">
        <v>445</v>
      </c>
      <c r="B47" s="314">
        <v>26</v>
      </c>
      <c r="C47" s="311" t="str">
        <f>GlobBerMedDisc!AC27</f>
        <v/>
      </c>
    </row>
    <row r="48" spans="1:7" x14ac:dyDescent="0.2">
      <c r="A48" s="311" t="s">
        <v>445</v>
      </c>
      <c r="B48" s="314">
        <v>27</v>
      </c>
      <c r="C48" s="311" t="str">
        <f>GlobBerMedDisc!AC28</f>
        <v/>
      </c>
    </row>
    <row r="49" spans="1:5" x14ac:dyDescent="0.2">
      <c r="A49" s="311" t="s">
        <v>445</v>
      </c>
      <c r="B49" s="314">
        <v>28</v>
      </c>
      <c r="C49" s="311" t="str">
        <f>GlobBerMedDisc!AC29</f>
        <v/>
      </c>
    </row>
    <row r="50" spans="1:5" x14ac:dyDescent="0.2">
      <c r="A50" s="311" t="s">
        <v>445</v>
      </c>
      <c r="B50" s="314">
        <v>29</v>
      </c>
      <c r="C50" s="311" t="str">
        <f>GlobBerMedDisc!AC30</f>
        <v/>
      </c>
    </row>
    <row r="51" spans="1:5" x14ac:dyDescent="0.2">
      <c r="A51" s="311" t="s">
        <v>445</v>
      </c>
      <c r="B51" s="314">
        <v>30</v>
      </c>
      <c r="C51" s="311" t="str">
        <f>GlobBerMedDisc!AC31</f>
        <v/>
      </c>
    </row>
    <row r="52" spans="1:5" x14ac:dyDescent="0.2">
      <c r="A52" s="312" t="s">
        <v>842</v>
      </c>
      <c r="B52" s="314" t="s">
        <v>425</v>
      </c>
      <c r="C52" s="311" t="str">
        <f>IF(PedGuiAfspr!C38="","",CONCATENATE(PedGuiAfspr!B38,": ",PedGuiAfspr!C38))</f>
        <v/>
      </c>
      <c r="D52" s="311"/>
      <c r="E52" s="312"/>
    </row>
    <row r="53" spans="1:5" x14ac:dyDescent="0.2">
      <c r="A53" s="312" t="s">
        <v>842</v>
      </c>
      <c r="B53" s="314" t="s">
        <v>426</v>
      </c>
      <c r="C53" s="311" t="str">
        <f>IF(PedGuiAfspr!C39="","",CONCATENATE(PedGuiAfspr!B39,": ",PedGuiAfspr!C39))</f>
        <v/>
      </c>
      <c r="D53" s="311"/>
      <c r="E53" s="312"/>
    </row>
    <row r="54" spans="1:5" x14ac:dyDescent="0.2">
      <c r="A54" s="312" t="s">
        <v>842</v>
      </c>
      <c r="B54" s="314" t="s">
        <v>427</v>
      </c>
      <c r="C54" s="311" t="str">
        <f>IF(PedGuiAfspr!C40="","",CONCATENATE(PedGuiAfspr!B40,": ",PedGuiAfspr!C40))</f>
        <v/>
      </c>
      <c r="D54" s="311"/>
      <c r="E54" s="312"/>
    </row>
    <row r="55" spans="1:5" x14ac:dyDescent="0.2">
      <c r="A55" s="312" t="s">
        <v>842</v>
      </c>
      <c r="B55" s="314" t="s">
        <v>428</v>
      </c>
      <c r="C55" s="311" t="str">
        <f>IF(PedGuiAfspr!C41="","",CONCATENATE(PedGuiAfspr!B41,": ",PedGuiAfspr!C41))</f>
        <v/>
      </c>
      <c r="D55" s="311"/>
      <c r="E55" s="312"/>
    </row>
    <row r="56" spans="1:5" x14ac:dyDescent="0.2">
      <c r="A56" t="s">
        <v>446</v>
      </c>
      <c r="B56" s="129" t="s">
        <v>425</v>
      </c>
      <c r="C56" t="str">
        <f>IF(PedPrtAfspr!C39&lt;&gt;0,PedPrtAfspr!C39,"")</f>
        <v/>
      </c>
    </row>
    <row r="57" spans="1:5" x14ac:dyDescent="0.2">
      <c r="A57" t="s">
        <v>446</v>
      </c>
      <c r="B57" s="129" t="s">
        <v>426</v>
      </c>
      <c r="C57" t="str">
        <f>IF(PedPrtAfspr!C40&lt;&gt;0,PedPrtAfspr!C40,"")</f>
        <v/>
      </c>
    </row>
    <row r="58" spans="1:5" x14ac:dyDescent="0.2">
      <c r="A58" t="s">
        <v>446</v>
      </c>
      <c r="B58" s="129" t="s">
        <v>427</v>
      </c>
      <c r="C58" t="str">
        <f>IF(PedPrtAfspr!C41&lt;&gt;0,PedPrtAfspr!C41,"")</f>
        <v/>
      </c>
    </row>
    <row r="59" spans="1:5" x14ac:dyDescent="0.2">
      <c r="A59" t="s">
        <v>446</v>
      </c>
      <c r="B59" s="129" t="s">
        <v>428</v>
      </c>
      <c r="C59" t="str">
        <f>IF(PedPrtAfspr!C42&lt;&gt;0,PedPrtAfspr!C42,"")</f>
        <v/>
      </c>
    </row>
    <row r="60" spans="1:5" x14ac:dyDescent="0.2">
      <c r="A60" t="s">
        <v>446</v>
      </c>
      <c r="B60" s="129" t="s">
        <v>429</v>
      </c>
      <c r="C60" t="str">
        <f>IF(PedPrtAfspr!C43&lt;&gt;0,PedPrtAfspr!C43,"")</f>
        <v/>
      </c>
    </row>
    <row r="61" spans="1:5" x14ac:dyDescent="0.2">
      <c r="A61" t="s">
        <v>446</v>
      </c>
      <c r="B61" s="129" t="s">
        <v>430</v>
      </c>
      <c r="C61" t="str">
        <f>IF(PedPrtAfspr!C44&lt;&gt;0,PedPrtAfspr!C44,"")</f>
        <v/>
      </c>
    </row>
    <row r="62" spans="1:5" x14ac:dyDescent="0.2">
      <c r="A62" t="s">
        <v>446</v>
      </c>
      <c r="B62" s="129" t="s">
        <v>431</v>
      </c>
      <c r="C62" t="e">
        <f>IF(PedPrtAfspr!D67&lt;&gt;0,"Opmerkingen: "&amp;PedPrtAfspr!D67,"")</f>
        <v>#REF!</v>
      </c>
    </row>
    <row r="63" spans="1:5" s="311" customFormat="1" x14ac:dyDescent="0.2">
      <c r="A63" s="312" t="s">
        <v>20</v>
      </c>
      <c r="B63" s="315" t="s">
        <v>425</v>
      </c>
      <c r="C63" s="311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447</v>
      </c>
      <c r="B64" s="129" t="s">
        <v>425</v>
      </c>
      <c r="C64" t="e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#REF!</v>
      </c>
    </row>
    <row r="65" spans="1:3" x14ac:dyDescent="0.2">
      <c r="A65" t="s">
        <v>447</v>
      </c>
      <c r="B65" s="129" t="s">
        <v>426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447</v>
      </c>
      <c r="B66" s="129" t="s">
        <v>427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447</v>
      </c>
      <c r="B67" s="129" t="s">
        <v>428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447</v>
      </c>
      <c r="B68" s="129" t="s">
        <v>429</v>
      </c>
      <c r="C68" t="str">
        <f>IF(PedPrtAfspr!E85&lt;&gt;" ",PedPrtAfspr!D85&amp;": "&amp;PedPrtAfspr!E85,"")</f>
        <v/>
      </c>
    </row>
    <row r="69" spans="1:3" x14ac:dyDescent="0.2">
      <c r="A69" t="s">
        <v>447</v>
      </c>
      <c r="B69" s="129" t="s">
        <v>430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447</v>
      </c>
      <c r="B70" s="129" t="s">
        <v>431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447</v>
      </c>
      <c r="B71" s="130" t="s">
        <v>432</v>
      </c>
      <c r="C71" t="str">
        <f>IF(PedGuiEntTPN!E39&lt;&gt;0,"Opmerkingen: "&amp;PedGuiEntTPN!E39,"")</f>
        <v/>
      </c>
    </row>
    <row r="72" spans="1:3" x14ac:dyDescent="0.2">
      <c r="A72" t="s">
        <v>145</v>
      </c>
      <c r="B72" s="129" t="s">
        <v>425</v>
      </c>
      <c r="C72" t="str">
        <f>IF(PedPrtAfspr!D15&lt;&gt;"",PedPrtAfspr!C15&amp;": "&amp;PedPrtAfspr!D15,"")</f>
        <v/>
      </c>
    </row>
    <row r="73" spans="1:3" x14ac:dyDescent="0.2">
      <c r="A73" t="s">
        <v>145</v>
      </c>
      <c r="B73" s="129" t="s">
        <v>426</v>
      </c>
      <c r="C73" t="str">
        <f>IF(PedPrtAfspr!D16&lt;&gt;"",PedPrtAfspr!C16&amp;": "&amp;PedPrtAfspr!D16,"")</f>
        <v/>
      </c>
    </row>
    <row r="74" spans="1:3" x14ac:dyDescent="0.2">
      <c r="A74" t="s">
        <v>145</v>
      </c>
      <c r="B74" s="129" t="s">
        <v>427</v>
      </c>
      <c r="C74" t="str">
        <f>IF(PedPrtAfspr!D17&lt;&gt;"",PedPrtAfspr!C17&amp;": "&amp;PedPrtAfspr!D17,"")</f>
        <v/>
      </c>
    </row>
    <row r="75" spans="1:3" x14ac:dyDescent="0.2">
      <c r="A75" t="s">
        <v>145</v>
      </c>
      <c r="B75" s="129" t="s">
        <v>428</v>
      </c>
      <c r="C75" t="str">
        <f>IF(PedPrtAfspr!D18&lt;&gt;"",PedPrtAfspr!C18&amp;": "&amp;PedPrtAfspr!D18,"")</f>
        <v/>
      </c>
    </row>
    <row r="76" spans="1:3" x14ac:dyDescent="0.2">
      <c r="A76" t="s">
        <v>145</v>
      </c>
      <c r="B76" s="129" t="s">
        <v>429</v>
      </c>
      <c r="C76" t="str">
        <f>IF(PedPrtAfspr!D19&lt;&gt;"",PedPrtAfspr!C19&amp;": "&amp;PedPrtAfspr!D19,"")</f>
        <v/>
      </c>
    </row>
    <row r="77" spans="1:3" x14ac:dyDescent="0.2">
      <c r="A77" t="s">
        <v>145</v>
      </c>
      <c r="B77" s="129" t="s">
        <v>430</v>
      </c>
      <c r="C77" t="str">
        <f>IF(PedPrtAfspr!D20&lt;&gt;0,PedPrtAfspr!C20&amp;": "&amp;PedPrtAfspr!D20,"")</f>
        <v/>
      </c>
    </row>
    <row r="78" spans="1:3" x14ac:dyDescent="0.2">
      <c r="A78" t="s">
        <v>348</v>
      </c>
      <c r="B78" s="129" t="s">
        <v>425</v>
      </c>
      <c r="C78" t="str">
        <f>PedPrtAfspr!C96&amp;": "&amp;PedPrtAfspr!D96</f>
        <v>Vocht: 0 ml/kg</v>
      </c>
    </row>
    <row r="79" spans="1:3" x14ac:dyDescent="0.2">
      <c r="A79" t="s">
        <v>348</v>
      </c>
      <c r="B79" s="129" t="s">
        <v>426</v>
      </c>
      <c r="C79" t="str">
        <f>PedPrtAfspr!C97&amp;": "&amp;PedPrtAfspr!D97</f>
        <v>Eiwit: 0  gram/kg</v>
      </c>
    </row>
    <row r="80" spans="1:3" x14ac:dyDescent="0.2">
      <c r="A80" t="s">
        <v>348</v>
      </c>
      <c r="B80" s="129" t="s">
        <v>427</v>
      </c>
      <c r="C80" t="str">
        <f>PedPrtAfspr!C98&amp;": "&amp;PedPrtAfspr!D98</f>
        <v>Glucose/KH: 0 g/kg</v>
      </c>
    </row>
    <row r="81" spans="1:3" x14ac:dyDescent="0.2">
      <c r="A81" t="s">
        <v>348</v>
      </c>
      <c r="B81" s="129" t="s">
        <v>428</v>
      </c>
      <c r="C81" t="str">
        <f>PedPrtAfspr!E96&amp;": "&amp;PedPrtAfspr!F96</f>
        <v>Calorieen: 0 kCal/kg</v>
      </c>
    </row>
    <row r="82" spans="1:3" x14ac:dyDescent="0.2">
      <c r="A82" t="s">
        <v>348</v>
      </c>
      <c r="B82" s="129" t="s">
        <v>429</v>
      </c>
      <c r="C82" t="str">
        <f>PedPrtAfspr!E97&amp;": "&amp;PedPrtAfspr!F97</f>
        <v>Vet: 0 gram/kg</v>
      </c>
    </row>
    <row r="83" spans="1:3" x14ac:dyDescent="0.2">
      <c r="A83" t="s">
        <v>348</v>
      </c>
      <c r="B83" s="129" t="s">
        <v>430</v>
      </c>
      <c r="C83" t="str">
        <f>PedPrtAfspr!G96&amp;": "&amp;PedPrtAfspr!H96</f>
        <v>Kalium: 0 mmol/kg</v>
      </c>
    </row>
    <row r="84" spans="1:3" x14ac:dyDescent="0.2">
      <c r="A84" t="s">
        <v>348</v>
      </c>
      <c r="B84" s="129" t="s">
        <v>431</v>
      </c>
      <c r="C84" t="str">
        <f>PedPrtAfspr!G97&amp;": "&amp;PedPrtAfspr!H97</f>
        <v>Calcium: 0 mmol/kg</v>
      </c>
    </row>
    <row r="85" spans="1:3" x14ac:dyDescent="0.2">
      <c r="A85" t="s">
        <v>348</v>
      </c>
      <c r="B85" s="129" t="s">
        <v>432</v>
      </c>
      <c r="C85" t="str">
        <f>PedPrtAfspr!G98&amp;": "&amp;PedPrtAfspr!H98</f>
        <v>Magnesium: 0 mmol/kg</v>
      </c>
    </row>
    <row r="86" spans="1:3" x14ac:dyDescent="0.2">
      <c r="A86" t="s">
        <v>348</v>
      </c>
      <c r="B86" s="129" t="s">
        <v>433</v>
      </c>
      <c r="C86" t="str">
        <f>PedPrtAfspr!I96&amp;": "&amp;PedPrtAfspr!J96</f>
        <v>Natrium : 0 mmol/kg</v>
      </c>
    </row>
    <row r="87" spans="1:3" x14ac:dyDescent="0.2">
      <c r="A87" t="s">
        <v>348</v>
      </c>
      <c r="B87" s="129">
        <v>10</v>
      </c>
      <c r="C87" t="str">
        <f>PedPrtAfspr!I97&amp;": "&amp;PedPrtAfspr!J97</f>
        <v>Fosfaat: 0 mmol/kg</v>
      </c>
    </row>
    <row r="88" spans="1:3" x14ac:dyDescent="0.2">
      <c r="A88" s="312" t="s">
        <v>608</v>
      </c>
      <c r="B88" s="311">
        <v>6</v>
      </c>
      <c r="C88" s="313" t="str">
        <f ca="1">NeoGuiInfB!H15</f>
        <v/>
      </c>
    </row>
    <row r="89" spans="1:3" x14ac:dyDescent="0.2">
      <c r="A89" s="312" t="s">
        <v>988</v>
      </c>
      <c r="B89" s="314" t="s">
        <v>425</v>
      </c>
      <c r="C89" t="str">
        <f>IF(NeoBerInfB!B23&gt;1,INDEX(Tbl_Neo_MedIV,NeoBerInfB!B23, 1)&amp;" "&amp;NeoGuiInfB!C32&amp;" "&amp;NeoGuiInfB!D32&amp;" "&amp; INDEX(Tbl_Neo_OplVlst,NeoBerInfB!E23,1)&amp;" " &amp; NeoGuiInfB!G32&amp;" (="&amp;NeoGuiInfB!H32&amp;" "&amp;NeoGuiInfB!I32&amp;"), inlooptijd: "&amp;NeoGuiInfB!N32,"")</f>
        <v xml:space="preserve">dopamine 200 mg in 50 ml glucose 10% 1 ml/uur (= 1), inlooptijd: </v>
      </c>
    </row>
    <row r="90" spans="1:3" x14ac:dyDescent="0.2">
      <c r="A90" s="312" t="s">
        <v>988</v>
      </c>
      <c r="B90" s="314" t="s">
        <v>426</v>
      </c>
      <c r="C90" s="311" t="str">
        <f>IF(NeoBerInfB!B24&gt;1,INDEX(Tbl_Neo_MedIV,NeoBerInfB!B24, 1)&amp;" "&amp;NeoGuiInfB!C33&amp;" "&amp;NeoGuiInfB!D33&amp;" "&amp; INDEX(Tbl_Neo_OplVlst,NeoBerInfB!E24,1)&amp;" " &amp; NeoGuiInfB!G33&amp;" (="&amp;NeoGuiInfB!H33&amp;" "&amp;NeoGuiInfB!I33&amp;"), inlooptijd: "&amp;NeoGuiInfB!N33,"")</f>
        <v/>
      </c>
    </row>
    <row r="91" spans="1:3" x14ac:dyDescent="0.2">
      <c r="A91" s="312" t="s">
        <v>988</v>
      </c>
      <c r="B91" s="314" t="s">
        <v>427</v>
      </c>
      <c r="C91" s="311" t="str">
        <f>IF(NeoBerInfB!B25&gt;1,INDEX(Tbl_Neo_MedIV,NeoBerInfB!B25, 1)&amp;" "&amp;NeoGuiInfB!C34&amp;" "&amp;NeoGuiInfB!D34&amp;" "&amp; INDEX(Tbl_Neo_OplVlst,NeoBerInfB!E25,1)&amp;" " &amp; NeoGuiInfB!G34&amp;" (="&amp;NeoGuiInfB!H34&amp;" "&amp;NeoGuiInfB!I34&amp;"), inlooptijd: "&amp;NeoGuiInfB!N34,"")</f>
        <v/>
      </c>
    </row>
    <row r="92" spans="1:3" x14ac:dyDescent="0.2">
      <c r="A92" s="312" t="s">
        <v>988</v>
      </c>
      <c r="B92" s="314" t="s">
        <v>428</v>
      </c>
      <c r="C92" s="311" t="str">
        <f>IF(NeoBerInfB!B26&gt;1,INDEX(Tbl_Neo_MedIV,NeoBerInfB!B26, 1)&amp;" "&amp;NeoGuiInfB!C35&amp;" "&amp;NeoGuiInfB!D35&amp;" "&amp; INDEX(Tbl_Neo_OplVlst,NeoBerInfB!E26,1)&amp;" " &amp; NeoGuiInfB!G35&amp;" (="&amp;NeoGuiInfB!H35&amp;" "&amp;NeoGuiInfB!I35&amp;"), inlooptijd: "&amp;NeoGuiInfB!N35,"")</f>
        <v/>
      </c>
    </row>
    <row r="93" spans="1:3" x14ac:dyDescent="0.2">
      <c r="A93" s="312" t="s">
        <v>988</v>
      </c>
      <c r="B93" s="314" t="s">
        <v>429</v>
      </c>
      <c r="C93" s="311" t="str">
        <f>IF(NeoBerInfB!B27&gt;1,INDEX(Tbl_Neo_MedIV,NeoBerInfB!B27, 1)&amp;" "&amp;NeoGuiInfB!C36&amp;" "&amp;NeoGuiInfB!D36&amp;" "&amp; INDEX(Tbl_Neo_OplVlst,NeoBerInfB!E27,1)&amp;" " &amp; NeoGuiInfB!G36&amp;" (="&amp;NeoGuiInfB!H36&amp;" "&amp;NeoGuiInfB!I36&amp;"), inlooptijd: "&amp;NeoGuiInfB!N36,"")</f>
        <v/>
      </c>
    </row>
    <row r="94" spans="1:3" x14ac:dyDescent="0.2">
      <c r="A94" s="312" t="s">
        <v>988</v>
      </c>
      <c r="B94" s="314" t="s">
        <v>430</v>
      </c>
      <c r="C94" s="311" t="str">
        <f>IF(NeoBerInfB!B28&gt;1,INDEX(Tbl_Neo_MedIV,NeoBerInfB!B28, 1)&amp;" "&amp;NeoGuiInfB!C37&amp;" "&amp;NeoGuiInfB!D37&amp;" "&amp; INDEX(Tbl_Neo_OplVlst,NeoBerInfB!E28,1)&amp;" " &amp; NeoGuiInfB!G37&amp;" (="&amp;NeoGuiInfB!H37&amp;" "&amp;NeoGuiInfB!I37&amp;"), inlooptijd: "&amp;NeoGuiInfB!N37,"")</f>
        <v/>
      </c>
    </row>
    <row r="95" spans="1:3" x14ac:dyDescent="0.2">
      <c r="A95" s="312" t="s">
        <v>988</v>
      </c>
      <c r="B95" s="314" t="s">
        <v>431</v>
      </c>
      <c r="C95" s="311" t="str">
        <f>IF(NeoBerInfB!B29&gt;1,INDEX(Tbl_Neo_MedIV,NeoBerInfB!B29, 1)&amp;" "&amp;NeoGuiInfB!C38&amp;" "&amp;NeoGuiInfB!D38&amp;" "&amp; INDEX(Tbl_Neo_OplVlst,NeoBerInfB!E29,1)&amp;" " &amp; NeoGuiInfB!G38&amp;" (="&amp;NeoGuiInfB!H38&amp;" "&amp;NeoGuiInfB!I38&amp;"), inlooptijd: "&amp;NeoGuiInfB!N38,"")</f>
        <v/>
      </c>
    </row>
    <row r="96" spans="1:3" x14ac:dyDescent="0.2">
      <c r="A96" s="312" t="s">
        <v>988</v>
      </c>
      <c r="B96" s="314" t="s">
        <v>432</v>
      </c>
      <c r="C96" s="311" t="str">
        <f>IF(NeoBerInfB!B30&gt;1,INDEX(Tbl_Neo_MedIV,NeoBerInfB!B30, 1)&amp;" "&amp;NeoGuiInfB!C39&amp;" "&amp;NeoGuiInfB!D39&amp;" "&amp; INDEX(Tbl_Neo_OplVlst,NeoBerInfB!E30,1)&amp;" " &amp; NeoGuiInfB!G39&amp;" (="&amp;NeoGuiInfB!H39&amp;" "&amp;NeoGuiInfB!I39&amp;"), inlooptijd: "&amp;NeoGuiInfB!N39,"")</f>
        <v/>
      </c>
    </row>
    <row r="97" spans="1:7" x14ac:dyDescent="0.2">
      <c r="A97" s="312" t="s">
        <v>988</v>
      </c>
      <c r="B97" s="314" t="s">
        <v>433</v>
      </c>
      <c r="C97" s="311" t="str">
        <f>IF(NeoBerInfB!B31&gt;1,INDEX(Tbl_Neo_MedIV,NeoBerInfB!B31, 1)&amp;" "&amp;NeoGuiInfB!C40&amp;" "&amp;NeoGuiInfB!D40&amp;" "&amp; INDEX(Tbl_Neo_OplVlst,NeoBerInfB!E31,1)&amp;" " &amp; NeoGuiInfB!G40&amp;" (="&amp;NeoGuiInfB!H40&amp;" "&amp;NeoGuiInfB!I40&amp;"), inlooptijd: "&amp;NeoGuiInfB!N40,"")</f>
        <v/>
      </c>
    </row>
    <row r="98" spans="1:7" x14ac:dyDescent="0.2">
      <c r="A98" s="312" t="s">
        <v>988</v>
      </c>
      <c r="B98" s="314" t="s">
        <v>611</v>
      </c>
      <c r="C98" s="311" t="str">
        <f>IF(NeoBerInfB!B35="","",NeoBerInfB!B35)</f>
        <v/>
      </c>
    </row>
    <row r="99" spans="1:7" x14ac:dyDescent="0.2">
      <c r="A99" s="312" t="s">
        <v>988</v>
      </c>
      <c r="B99" s="314" t="s">
        <v>612</v>
      </c>
      <c r="C99" s="311" t="str">
        <f>IF(NeoBerInfB!B36="","",NeoBerInfB!B36)</f>
        <v/>
      </c>
    </row>
    <row r="100" spans="1:7" x14ac:dyDescent="0.2">
      <c r="A100" s="312" t="s">
        <v>988</v>
      </c>
      <c r="B100" s="314" t="s">
        <v>613</v>
      </c>
      <c r="C100" s="311" t="str">
        <f>IF(NeoBerInfB!E32&lt;&gt;0, NeoGuiInfB!B42&amp;": "&amp; INDEX(Tbl_Neo_OplVlst,NeoBerInfB!$E32,1)&amp;" " &amp; NeoGuiInfB!G42,"")</f>
        <v>Zijlijn 1: glucose 25% 0.2 ml/uur</v>
      </c>
    </row>
    <row r="101" spans="1:7" x14ac:dyDescent="0.2">
      <c r="A101" s="312" t="s">
        <v>988</v>
      </c>
      <c r="B101" s="314" t="s">
        <v>708</v>
      </c>
      <c r="C101" s="311" t="str">
        <f>IF(NeoBerInfB!E33&lt;&gt;0, NeoGuiInfB!B43&amp;": "&amp; INDEX(Tbl_Neo_OplVlst,NeoBerInfB!$E33,1)&amp;" " &amp; NeoGuiInfB!G43,"")</f>
        <v>Zijlijn 2: glucose 35% 0.3 ml/uur</v>
      </c>
    </row>
    <row r="102" spans="1:7" x14ac:dyDescent="0.2">
      <c r="A102" s="312" t="s">
        <v>988</v>
      </c>
      <c r="B102" s="314" t="s">
        <v>709</v>
      </c>
      <c r="C102" s="311" t="str">
        <f>IF(NeoBerInfB!E34&lt;&gt;0, NeoGuiInfB!B44&amp;": "&amp; INDEX(Tbl_Neo_OplVlst,NeoBerInfB!$E34,1)&amp;" " &amp; NeoGuiInfB!G44,"")</f>
        <v>Zijlijn 3: glucose 25% 0.2 ml/uur</v>
      </c>
    </row>
    <row r="103" spans="1:7" x14ac:dyDescent="0.2">
      <c r="A103" s="312" t="s">
        <v>988</v>
      </c>
      <c r="B103" s="314" t="s">
        <v>961</v>
      </c>
      <c r="C103" s="311" t="str">
        <f>IF(Txt_Neo_Wb_IVAcc_Stand&lt;&gt;"",CONCATENATE(Txt_Neo_Wb_IVAcc_Tekst," ",Txt_Neo_Wb_IVAcc_Stand, " ml/uur"),"")</f>
        <v>Arterielijn: 12 ml NaCl 0,45% + hep. (5EH/ml) 1 ml/uur</v>
      </c>
    </row>
    <row r="104" spans="1:7" x14ac:dyDescent="0.2">
      <c r="A104" s="312" t="s">
        <v>988</v>
      </c>
      <c r="B104" s="314" t="s">
        <v>976</v>
      </c>
      <c r="C104" s="311" t="str">
        <f ca="1">IF(NeoBerInfB!C39&lt;&gt;0,CONCATENATE(INDEX(tbl_Neo_IntralipidSmof,Var_Neo_InfB_TPN_IntralipidSmof)," ",ROUNDUP(NeoBerInfB!C39/24,1)," ml/uur"),"")</f>
        <v>Intralipid 20% (incl vitintra) 0.1 ml/uur</v>
      </c>
    </row>
    <row r="105" spans="1:7" x14ac:dyDescent="0.2">
      <c r="A105" s="312" t="s">
        <v>988</v>
      </c>
      <c r="B105" s="314" t="s">
        <v>977</v>
      </c>
      <c r="C105" s="311" t="str">
        <f ca="1">IF(Txt_Neo_Wb_TPN_Stand&lt;&gt;"",CONCATENATE("TPN: ",Txt_Neo_Wb_TPN_Stand, " ml/uur"),"")</f>
        <v>TPN: 0.3 ml/uur</v>
      </c>
      <c r="D105" s="311"/>
    </row>
    <row r="106" spans="1:7" x14ac:dyDescent="0.2">
      <c r="A106" s="312" t="s">
        <v>988</v>
      </c>
      <c r="B106" s="314" t="s">
        <v>978</v>
      </c>
      <c r="C106" s="311" t="str">
        <f ca="1">IF(Txt_Neo_Wb_TPN_Stand&lt;&gt;"",CONCATENATE("TPN Totaal: ",Txt_Neo_Wb_TPN_TotaalGeheel,",", Txt_Neo_Wb_TPN_TotaalBreuk, " ml"),"")</f>
        <v>TPN Totaal: 8,0 ml</v>
      </c>
      <c r="D106" s="311"/>
    </row>
    <row r="107" spans="1:7" s="311" customFormat="1" x14ac:dyDescent="0.2">
      <c r="A107" s="312" t="s">
        <v>988</v>
      </c>
      <c r="B107" s="314" t="s">
        <v>979</v>
      </c>
      <c r="C107" s="311" t="str">
        <f ca="1">IF(OR(Txt_Neo_Wb_TPN_NaClGeheel&lt;&gt;"",Txt_Neo_Wb_TPN_NaClBreuk&lt;&gt;""),CONCATENATE(Txt_Neo_Wb_TPN_NaCLTekst," ",Txt_Neo_Wb_TPN_NaClGeheel,",", Txt_Neo_Wb_TPN_NaClBreuk, " ml"),"")</f>
        <v>NaCl 2,9% (0,5 mmol/ml) 3,0 ml</v>
      </c>
      <c r="E107"/>
    </row>
    <row r="108" spans="1:7" s="311" customFormat="1" x14ac:dyDescent="0.2">
      <c r="A108" s="312" t="s">
        <v>988</v>
      </c>
      <c r="B108" s="314" t="s">
        <v>980</v>
      </c>
      <c r="C108" s="311" t="str">
        <f ca="1">IF(OR(Txt_Neo_Wb_TPN_KacetaatGeheel&lt;&gt;"",Txt_Neo_Wb_TPN_KacetaatBreuk&lt;&gt;""),CONCATENATE(Txt_Neo_Wb_TPN_KacetaatTekst," ",Txt_Neo_Wb_TPN_KacetaatGeheel,",", Txt_Neo_Wb_TPN_KacetaatBreuk, " ml"),"")</f>
        <v>Kacetaat (1 mmol/ml) 1,0 ml</v>
      </c>
      <c r="E108"/>
    </row>
    <row r="109" spans="1:7" s="311" customFormat="1" x14ac:dyDescent="0.2">
      <c r="A109" s="312" t="s">
        <v>988</v>
      </c>
      <c r="B109" s="314" t="s">
        <v>981</v>
      </c>
      <c r="C109" s="311" t="str">
        <f ca="1">IF(OR(Txt_Neo_Wb_TPN_CaClGeheel&lt;&gt;"",Txt_Neo_Wb_TPN_CaClBreuk&lt;&gt;""),CONCATENATE(Txt_Neo_Wb_TPN_CaClTekst," ",Txt_Neo_Wb_TPN_CaClGeheel,",", Txt_Neo_Wb_TPN_CaClBreuk, " ml"),"")</f>
        <v>CaCl2 3,3% (0,225 mmol/ml) 1,0 ml</v>
      </c>
      <c r="E109"/>
      <c r="F109"/>
      <c r="G109"/>
    </row>
    <row r="110" spans="1:7" s="311" customFormat="1" x14ac:dyDescent="0.2">
      <c r="A110" s="312" t="s">
        <v>988</v>
      </c>
      <c r="B110" s="314" t="s">
        <v>982</v>
      </c>
      <c r="C110" s="311" t="str">
        <f ca="1">IF(OR(Txt_Neo_Wb_TPN_MgClGeheel&lt;&gt;"",Txt_Neo_Wb_TPN_MgClBreuk&lt;&gt;""),CONCATENATE(Txt_Neo_Wb_TPN_MgClTekst," ",Txt_Neo_Wb_TPN_MgClGeheel,",", Txt_Neo_Wb_TPN_MgClBreuk, " ml"),"")</f>
        <v>MgCl2 10% (0,5 mmol/ml) 1,0 ml</v>
      </c>
      <c r="E110"/>
    </row>
    <row r="111" spans="1:7" s="311" customFormat="1" x14ac:dyDescent="0.2">
      <c r="A111" s="312" t="s">
        <v>988</v>
      </c>
      <c r="B111" s="314" t="s">
        <v>983</v>
      </c>
      <c r="C111" s="311" t="str">
        <f ca="1">IF(OR(Txt_Neo_Wb_TPN_SoluvitGeheel&lt;&gt;"",Txt_Neo_Wb_TPN_SoluvitBreuk&lt;&gt;""),CONCATENATE(Txt_Neo_Wb_TPN_SoluvitTekst," ",Txt_Neo_Wb_TPN_SoluvitGeheel,",", Txt_Neo_Wb_TPN_SoluvitBreuk, " ml"),"")</f>
        <v>Soluvit 1,0 ml</v>
      </c>
      <c r="E111"/>
    </row>
    <row r="112" spans="1:7" s="311" customFormat="1" x14ac:dyDescent="0.2">
      <c r="A112" s="312" t="s">
        <v>988</v>
      </c>
      <c r="B112" s="314" t="s">
        <v>984</v>
      </c>
      <c r="C112" s="311" t="str">
        <f ca="1">IF(OR(Txt_Neo_Wb_TPN_PrimeneGeheel&lt;&gt;"",Txt_Neo_Wb_TPN_PrimeneBreuk&lt;&gt;""),CONCATENATE(Txt_Neo_Wb_TPN_PrimeneTekst," ",Txt_Neo_Wb_TPN_PrimeneGeheel,",", Txt_Neo_Wb_TPN_PrimeneBreuk, " ml"),"")</f>
        <v>Primene 1,0 ml</v>
      </c>
      <c r="E112"/>
    </row>
    <row r="113" spans="1:7" x14ac:dyDescent="0.2">
      <c r="A113" s="312" t="s">
        <v>988</v>
      </c>
      <c r="B113" s="314" t="s">
        <v>985</v>
      </c>
      <c r="C113" s="311" t="str">
        <f>IF(OR(Txt_Neo_Wb_TPN_NICUmixGeheel&lt;&gt;"",Txt_Neo_Wb_TPN_NICUmixBreuk&lt;&gt;""),CONCATENATE(Txt_Neo_Wb_TPN_NICUmixTekst," ",Txt_Neo_Wb_TPN_NICUmixGeheel,",", Txt_Neo_Wb_TPN_NICUmixBreuk, " ml"),"")</f>
        <v/>
      </c>
      <c r="D113" s="311"/>
      <c r="F113" s="311"/>
      <c r="G113" s="311"/>
    </row>
    <row r="114" spans="1:7" x14ac:dyDescent="0.2">
      <c r="A114" s="312" t="s">
        <v>988</v>
      </c>
      <c r="B114" s="314" t="s">
        <v>986</v>
      </c>
      <c r="C114" s="311" t="str">
        <f>IF(OR(Txt_Neo_Wb_TPN_SamBGeheel&lt;&gt;"",Txt_Neo_Wb_TPN_SamBBreuk&lt;&gt;""),CONCATENATE(Txt_Neo_Wb_TPN_SamBTekst," ",Txt_Neo_Wb_TPN_SamBGeheel,",", Txt_Neo_Wb_TPN_SamBBreuk, " ml"),"")</f>
        <v/>
      </c>
      <c r="D114" s="311"/>
      <c r="F114" s="311"/>
      <c r="G114" s="311"/>
    </row>
    <row r="115" spans="1:7" x14ac:dyDescent="0.2">
      <c r="A115" s="312" t="s">
        <v>988</v>
      </c>
      <c r="B115" s="314" t="s">
        <v>987</v>
      </c>
      <c r="C115" s="311" t="str">
        <f ca="1">IF(OR(Txt_Neo_Wb_TPN_GlucGeheel&lt;&gt;"",Txt_Neo_Wb_TPN_GlucBreuk&lt;&gt;""),CONCATENATE(Txt_Neo_Wb_TPN_GlucTekst," ",Txt_Neo_Wb_TPN_GlucGeheel,",", ROUND(Txt_Neo_Wb_TPN_GlucBreuk,2), " ml"),"")</f>
        <v/>
      </c>
      <c r="D115" s="311"/>
      <c r="F115" s="311"/>
      <c r="G115" s="311"/>
    </row>
    <row r="116" spans="1:7" s="311" customFormat="1" x14ac:dyDescent="0.2">
      <c r="A116" s="312" t="s">
        <v>989</v>
      </c>
      <c r="B116" s="314" t="s">
        <v>425</v>
      </c>
      <c r="C116" s="311" t="str">
        <f>IF(Txt_Neo_InfB_Voeding_02&lt;&gt;"",Txt_Neo_InfB_Voeding_02,"")</f>
        <v/>
      </c>
      <c r="D116"/>
      <c r="E116"/>
    </row>
    <row r="117" spans="1:7" s="311" customFormat="1" x14ac:dyDescent="0.2">
      <c r="A117" s="312" t="s">
        <v>989</v>
      </c>
      <c r="B117" s="314" t="s">
        <v>426</v>
      </c>
      <c r="C117" s="311" t="str">
        <f>IF(Txt_Neo_InfB_Voeding_03&lt;&gt;"",Txt_Neo_InfB_Voeding_03,"")</f>
        <v>MM 4 x 2 ml en 2 x 1 ml (= 10 ml)</v>
      </c>
      <c r="D117"/>
      <c r="E117"/>
    </row>
    <row r="118" spans="1:7" x14ac:dyDescent="0.2">
      <c r="A118" s="312" t="s">
        <v>989</v>
      </c>
      <c r="B118" s="314" t="s">
        <v>427</v>
      </c>
      <c r="C118" s="311" t="str">
        <f>IF(Txt_Neo_InfB_Voeding_04&lt;&gt;"",Txt_Neo_InfB_Voeding_04,"")</f>
        <v/>
      </c>
    </row>
    <row r="119" spans="1:7" x14ac:dyDescent="0.2">
      <c r="A119" s="312" t="s">
        <v>989</v>
      </c>
      <c r="B119" s="314" t="s">
        <v>428</v>
      </c>
      <c r="C119" s="311" t="str">
        <f>IF(Txt_Neo_InfB_Voeding_05&lt;&gt;"",Txt_Neo_InfB_Voeding_05,"")</f>
        <v>Nutrilon Nenatal BMF 2.2 % = (0.22 gram)</v>
      </c>
    </row>
    <row r="120" spans="1:7" s="311" customFormat="1" x14ac:dyDescent="0.2">
      <c r="A120" s="312" t="s">
        <v>989</v>
      </c>
      <c r="B120" s="314" t="s">
        <v>429</v>
      </c>
      <c r="C120" s="311" t="str">
        <f>IF(Txt_Neo_InfB_Voeding_06&lt;&gt;"",Txt_Neo_InfB_Voeding_06,"")</f>
        <v>Fantomalt 1 % = (0.1 gram)</v>
      </c>
    </row>
    <row r="121" spans="1:7" x14ac:dyDescent="0.2">
      <c r="A121" s="312" t="s">
        <v>989</v>
      </c>
      <c r="B121" s="314" t="s">
        <v>430</v>
      </c>
      <c r="C121" s="311" t="str">
        <f>IF(Txt_Neo_InfB_Voeding_07&lt;&gt;"",Txt_Neo_InfB_Voeding_07,"")</f>
        <v/>
      </c>
      <c r="D121" s="311"/>
      <c r="E121" s="311"/>
    </row>
    <row r="122" spans="1:7" x14ac:dyDescent="0.2">
      <c r="A122" s="312" t="s">
        <v>989</v>
      </c>
      <c r="B122" s="314" t="s">
        <v>431</v>
      </c>
      <c r="C122" s="311" t="str">
        <f>IF(Txt_Neo_InfB_Voeding_08&lt;&gt;"",Txt_Neo_InfB_Voeding_08,"")</f>
        <v/>
      </c>
      <c r="D122" s="311"/>
      <c r="E122" s="311"/>
    </row>
    <row r="123" spans="1:7" x14ac:dyDescent="0.2">
      <c r="A123" s="312" t="s">
        <v>989</v>
      </c>
      <c r="B123" s="314" t="s">
        <v>432</v>
      </c>
      <c r="C123" s="311" t="str">
        <f>IF(Txt_Neo_InfB_Voeding_09&lt;&gt;"",Txt_Neo_InfB_Voeding_09,"")</f>
        <v/>
      </c>
      <c r="D123" s="311"/>
      <c r="E123" s="311"/>
    </row>
    <row r="124" spans="1:7" s="311" customFormat="1" x14ac:dyDescent="0.2">
      <c r="A124" s="312" t="s">
        <v>989</v>
      </c>
      <c r="B124" s="314" t="s">
        <v>433</v>
      </c>
      <c r="C124" s="311" t="str">
        <f>IF(Txt_Neo_InfB_Voeding_10&lt;&gt;"",Txt_Neo_InfB_Voeding_10,"")</f>
        <v>Nutrilon Nenatal BMF 1 % = (0.1 gram)</v>
      </c>
      <c r="F124"/>
      <c r="G124"/>
    </row>
    <row r="125" spans="1:7" x14ac:dyDescent="0.2">
      <c r="A125" s="312" t="s">
        <v>989</v>
      </c>
      <c r="B125" s="314" t="s">
        <v>611</v>
      </c>
      <c r="C125" s="311" t="str">
        <f>IF(Txt_Neo_InfB_Voeding_11&lt;&gt;"",Txt_Neo_InfB_Voeding_11,"")</f>
        <v/>
      </c>
      <c r="D125" s="311"/>
      <c r="E125" s="311"/>
    </row>
    <row r="126" spans="1:7" x14ac:dyDescent="0.2">
      <c r="A126" s="312" t="s">
        <v>989</v>
      </c>
      <c r="B126" s="314" t="s">
        <v>612</v>
      </c>
      <c r="C126" s="311" t="str">
        <f>IF(Txt_Neo_InfB_Voeding_12&lt;&gt;"",Txt_Neo_InfB_Voeding_12,"")</f>
        <v/>
      </c>
      <c r="D126" s="311"/>
      <c r="E126" s="311"/>
    </row>
    <row r="127" spans="1:7" x14ac:dyDescent="0.2">
      <c r="A127" s="312" t="s">
        <v>989</v>
      </c>
      <c r="B127" s="314" t="s">
        <v>613</v>
      </c>
      <c r="C127" s="311" t="str">
        <f>IF(Txt_Neo_InfB_Voeding_13&lt;&gt;"",Txt_Neo_InfB_Voeding_13,"")</f>
        <v/>
      </c>
      <c r="D127" s="311"/>
      <c r="E127" s="311"/>
      <c r="F127" s="311"/>
      <c r="G127" s="311"/>
    </row>
    <row r="128" spans="1:7" x14ac:dyDescent="0.2">
      <c r="A128" s="312" t="s">
        <v>680</v>
      </c>
      <c r="B128" s="314" t="s">
        <v>425</v>
      </c>
      <c r="C128" t="str">
        <f>IF(NeoGuiAfspr!C45="","",CONCATENATE(NeoGuiAfspr!B45,": ",NeoGuiAfspr!C45))</f>
        <v/>
      </c>
      <c r="E128" s="312"/>
    </row>
    <row r="129" spans="1:5" x14ac:dyDescent="0.2">
      <c r="A129" s="312" t="s">
        <v>680</v>
      </c>
      <c r="B129" s="314" t="s">
        <v>426</v>
      </c>
      <c r="C129" s="311" t="str">
        <f>IF(NeoGuiAfspr!C46="","",CONCATENATE(NeoGuiAfspr!B46,": ",NeoGuiAfspr!C46))</f>
        <v/>
      </c>
      <c r="E129" s="312"/>
    </row>
    <row r="130" spans="1:5" s="311" customFormat="1" x14ac:dyDescent="0.2">
      <c r="A130" s="312" t="s">
        <v>680</v>
      </c>
      <c r="B130" s="314" t="s">
        <v>427</v>
      </c>
      <c r="C130" s="311" t="str">
        <f>IF(NeoGuiAfspr!C47="","",CONCATENATE(NeoGuiAfspr!B47,": ",NeoGuiAfspr!C47))</f>
        <v/>
      </c>
      <c r="E130" s="312"/>
    </row>
    <row r="131" spans="1:5" s="311" customFormat="1" x14ac:dyDescent="0.2">
      <c r="A131" s="312" t="s">
        <v>680</v>
      </c>
      <c r="B131" s="314" t="s">
        <v>428</v>
      </c>
      <c r="C131" s="311" t="str">
        <f>IF(NeoGuiAfspr!C48="","",CONCATENATE(NeoGuiAfspr!B48,": ",NeoGuiAfspr!C48))</f>
        <v/>
      </c>
      <c r="D131"/>
      <c r="E131" s="312"/>
    </row>
    <row r="132" spans="1:5" x14ac:dyDescent="0.2">
      <c r="A132" s="312" t="s">
        <v>680</v>
      </c>
      <c r="B132" s="314" t="s">
        <v>429</v>
      </c>
      <c r="C132" s="311" t="str">
        <f>IF(NeoGuiAfspr!C49="","",CONCATENATE(NeoGuiAfspr!B49,": ",NeoGuiAfspr!C49))</f>
        <v/>
      </c>
      <c r="E132" s="312"/>
    </row>
    <row r="133" spans="1:5" x14ac:dyDescent="0.2">
      <c r="A133" s="311" t="s">
        <v>609</v>
      </c>
      <c r="B133" s="314" t="s">
        <v>425</v>
      </c>
      <c r="C133" s="311" t="str">
        <f>IF(NeoGuiInfB!D65&lt;&gt;"",NeoGuiInfB!C65&amp;": "&amp;NeoGuiInfB!D65,"")</f>
        <v/>
      </c>
    </row>
    <row r="134" spans="1:5" x14ac:dyDescent="0.2">
      <c r="A134" s="311" t="s">
        <v>609</v>
      </c>
      <c r="B134" s="314" t="s">
        <v>426</v>
      </c>
      <c r="C134" s="311" t="str">
        <f>IF(NeoGuiInfB!D66&lt;&gt;"",NeoGuiInfB!C66&amp;": "&amp;NeoGuiInfB!D66,"")</f>
        <v/>
      </c>
    </row>
    <row r="135" spans="1:5" x14ac:dyDescent="0.2">
      <c r="A135" s="311" t="s">
        <v>609</v>
      </c>
      <c r="B135" s="314" t="s">
        <v>427</v>
      </c>
      <c r="C135" s="311" t="str">
        <f>IF(NeoGuiInfB!D67&lt;&gt;"",NeoGuiInfB!C67&amp;": "&amp;NeoGuiInfB!D67,"")</f>
        <v/>
      </c>
    </row>
    <row r="136" spans="1:5" x14ac:dyDescent="0.2">
      <c r="A136" s="311" t="s">
        <v>609</v>
      </c>
      <c r="B136" s="314" t="s">
        <v>428</v>
      </c>
      <c r="C136" s="311" t="str">
        <f>IF(NeoGuiInfB!D68&lt;&gt;"",NeoGuiInfB!C68&amp;": "&amp;NeoGuiInfB!D68,"")</f>
        <v/>
      </c>
    </row>
    <row r="137" spans="1:5" x14ac:dyDescent="0.2">
      <c r="A137" s="311" t="s">
        <v>609</v>
      </c>
      <c r="B137" s="314" t="s">
        <v>429</v>
      </c>
      <c r="C137" s="311" t="str">
        <f>IF(NeoGuiInfB!D69&lt;&gt;"",NeoGuiInfB!C69&amp;": "&amp;NeoGuiInfB!D69,"")</f>
        <v/>
      </c>
      <c r="D137" s="311"/>
      <c r="E137" s="311"/>
    </row>
    <row r="138" spans="1:5" x14ac:dyDescent="0.2">
      <c r="A138" s="311" t="s">
        <v>609</v>
      </c>
      <c r="B138" s="314" t="s">
        <v>430</v>
      </c>
      <c r="C138" s="311" t="str">
        <f>IF(NeoGuiInfB!D70&lt;&gt;"",NeoGuiInfB!C70&amp;": "&amp;NeoGuiInfB!D70,"")</f>
        <v/>
      </c>
    </row>
    <row r="139" spans="1:5" x14ac:dyDescent="0.2">
      <c r="A139" s="311" t="s">
        <v>609</v>
      </c>
      <c r="B139" s="314" t="s">
        <v>431</v>
      </c>
      <c r="C139" s="311" t="str">
        <f>IF(NeoGuiInfB!D71&lt;&gt;"",NeoGuiInfB!C71&amp;" "&amp;NeoGuiInfB!D71,"")</f>
        <v/>
      </c>
    </row>
    <row r="140" spans="1:5" x14ac:dyDescent="0.2">
      <c r="A140" s="311" t="s">
        <v>609</v>
      </c>
      <c r="B140" s="314" t="s">
        <v>432</v>
      </c>
      <c r="C140" s="311" t="str">
        <f>IF(NeoGuiInfB!D72&lt;&gt;"",NeoGuiInfB!C72&amp;" "&amp;NeoGuiInfB!D72,"")</f>
        <v/>
      </c>
      <c r="D140" s="311"/>
      <c r="E140" s="311"/>
    </row>
    <row r="141" spans="1:5" x14ac:dyDescent="0.2">
      <c r="A141" s="311" t="s">
        <v>609</v>
      </c>
      <c r="B141" s="314" t="s">
        <v>433</v>
      </c>
      <c r="C141" s="311" t="str">
        <f>IF(NeoGuiInfB!D73&lt;&gt;"",NeoGuiInfB!C73&amp;" "&amp;NeoGuiInfB!D73,"")</f>
        <v/>
      </c>
      <c r="D141" s="311"/>
      <c r="E141" s="311"/>
    </row>
    <row r="142" spans="1:5" x14ac:dyDescent="0.2">
      <c r="A142" s="311" t="s">
        <v>610</v>
      </c>
      <c r="B142" s="314" t="s">
        <v>425</v>
      </c>
      <c r="C142" s="312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2">
      <c r="A143" s="311" t="s">
        <v>610</v>
      </c>
      <c r="B143" s="314" t="s">
        <v>426</v>
      </c>
      <c r="C143" s="312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2">
      <c r="A144" s="311" t="s">
        <v>610</v>
      </c>
      <c r="B144" s="314" t="s">
        <v>427</v>
      </c>
      <c r="C144" s="312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2">
      <c r="A145" s="311" t="s">
        <v>610</v>
      </c>
      <c r="B145" s="314" t="s">
        <v>428</v>
      </c>
      <c r="C145" s="312" t="e">
        <f ca="1">CONCATENATE(NeoGuiInfB!B6,"       : ",NeoGuiInfB!$C$2," - ",NeoGuiInfB!C6,"; ",NeoGuiInfB!$D$2," - ",NeoGuiInfB!D6,"; ",NeoGuiInfB!$E$2," - ",NeoGuiInfB!E6,";")</f>
        <v>#DIV/0!</v>
      </c>
    </row>
    <row r="146" spans="1:3" x14ac:dyDescent="0.2">
      <c r="A146" s="311" t="s">
        <v>610</v>
      </c>
      <c r="B146" s="314" t="s">
        <v>429</v>
      </c>
      <c r="C146" s="312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2">
      <c r="A147" s="311" t="s">
        <v>610</v>
      </c>
      <c r="B147" s="314" t="s">
        <v>430</v>
      </c>
      <c r="C147" s="312" t="str">
        <f ca="1">CONCATENATE(NeoGuiInfB!B8,"            : ",NeoGuiInfB!$C$2," - ",NeoGuiInfB!C8,"; ",NeoGuiInfB!$D$2," - ",NeoGuiInfB!D8,"; ",NeoGuiInfB!$E$2," - ",NeoGuiInfB!E8,";")</f>
        <v>Vit D            : Intraveneus - 40 IE; Oraal - 15 IE; Totaal - 55 IE;</v>
      </c>
    </row>
    <row r="148" spans="1:3" x14ac:dyDescent="0.2">
      <c r="A148" s="311" t="s">
        <v>610</v>
      </c>
      <c r="B148" s="314" t="s">
        <v>431</v>
      </c>
      <c r="C148" s="312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2">
      <c r="A149" s="311" t="s">
        <v>610</v>
      </c>
      <c r="B149" s="314" t="s">
        <v>432</v>
      </c>
      <c r="C149" s="312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2">
      <c r="A150" s="311" t="s">
        <v>610</v>
      </c>
      <c r="B150" s="314" t="s">
        <v>433</v>
      </c>
      <c r="C150" s="312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2">
      <c r="A151" s="311" t="s">
        <v>610</v>
      </c>
      <c r="B151" s="315" t="s">
        <v>611</v>
      </c>
      <c r="C151" s="312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2">
      <c r="A152" s="311" t="s">
        <v>610</v>
      </c>
      <c r="B152" s="315" t="s">
        <v>612</v>
      </c>
      <c r="C152" s="312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2">
      <c r="A153" s="311" t="s">
        <v>610</v>
      </c>
      <c r="B153" s="315" t="s">
        <v>613</v>
      </c>
      <c r="C153" s="312" t="e">
        <f ca="1"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83"/>
  <sheetViews>
    <sheetView zoomScaleNormal="100" workbookViewId="0">
      <pane xSplit="1" ySplit="1" topLeftCell="B845" activePane="bottomRight" state="frozen"/>
      <selection activeCell="C22" sqref="C22"/>
      <selection pane="topRight" activeCell="C22" sqref="C22"/>
      <selection pane="bottomLeft" activeCell="C22" sqref="C22"/>
      <selection pane="bottomRight" activeCell="B577" sqref="B577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52" t="s">
        <v>155</v>
      </c>
      <c r="B1" t="s">
        <v>156</v>
      </c>
      <c r="C1" s="312" t="s">
        <v>2035</v>
      </c>
    </row>
    <row r="2" spans="1:6" x14ac:dyDescent="0.2">
      <c r="A2" s="311" t="s">
        <v>1039</v>
      </c>
      <c r="B2" s="311" t="str">
        <f>IF(ISBLANK(PatDetails!$B$1),"",PatDetails!$B$1)</f>
        <v/>
      </c>
      <c r="C2" s="560"/>
    </row>
    <row r="3" spans="1:6" x14ac:dyDescent="0.2">
      <c r="A3" s="311" t="s">
        <v>1040</v>
      </c>
      <c r="B3" s="311" t="str">
        <f>IF(ISBLANK(PatDetails!$B$2),"",PatDetails!$B$2)</f>
        <v/>
      </c>
      <c r="C3" s="560"/>
    </row>
    <row r="4" spans="1:6" x14ac:dyDescent="0.2">
      <c r="A4" s="311" t="s">
        <v>1041</v>
      </c>
      <c r="B4" s="311" t="str">
        <f>IF(ISBLANK(PatDetails!$B$3),"",PatDetails!$B$3)</f>
        <v/>
      </c>
      <c r="C4" s="560"/>
    </row>
    <row r="5" spans="1:6" x14ac:dyDescent="0.2">
      <c r="A5" s="311" t="s">
        <v>1042</v>
      </c>
      <c r="B5" s="311" t="str">
        <f>IF(ISBLANK(PatDetails!$B$4),"",PatDetails!$B$4)</f>
        <v/>
      </c>
      <c r="C5" s="560"/>
    </row>
    <row r="6" spans="1:6" x14ac:dyDescent="0.2">
      <c r="A6" s="311" t="s">
        <v>1043</v>
      </c>
      <c r="B6" s="24">
        <f>IF(ISBLANK(PatDetails!$B$5),"",PatDetails!$B$5)</f>
        <v>1462</v>
      </c>
      <c r="C6" s="128">
        <f>EmptyDate()</f>
        <v>1462</v>
      </c>
      <c r="E6" s="128"/>
    </row>
    <row r="7" spans="1:6" x14ac:dyDescent="0.2">
      <c r="A7" s="311" t="s">
        <v>2036</v>
      </c>
      <c r="B7" t="str">
        <f>IF(ISBLANK(GlobBerMedDisc!$AH$2),"",GlobBerMedDisc!$AH$2)</f>
        <v/>
      </c>
      <c r="C7" s="560"/>
    </row>
    <row r="8" spans="1:6" x14ac:dyDescent="0.2">
      <c r="A8" s="311" t="s">
        <v>2037</v>
      </c>
      <c r="B8" t="str">
        <f>IF(ISBLANK(GlobBerMedDisc!$AH$3),"",GlobBerMedDisc!$AH$3)</f>
        <v/>
      </c>
      <c r="C8" s="560"/>
    </row>
    <row r="9" spans="1:6" x14ac:dyDescent="0.2">
      <c r="A9" s="311" t="s">
        <v>2038</v>
      </c>
      <c r="B9" t="str">
        <f>IF(ISBLANK(GlobBerMedDisc!$AH$4),"",GlobBerMedDisc!$AH$4)</f>
        <v/>
      </c>
      <c r="C9" s="560"/>
    </row>
    <row r="10" spans="1:6" x14ac:dyDescent="0.2">
      <c r="A10" s="311" t="s">
        <v>2039</v>
      </c>
      <c r="B10" t="str">
        <f>IF(ISBLANK(GlobBerMedDisc!$AH$5),"",GlobBerMedDisc!$AH$5)</f>
        <v/>
      </c>
      <c r="C10" s="560"/>
    </row>
    <row r="11" spans="1:6" x14ac:dyDescent="0.2">
      <c r="A11" s="311" t="s">
        <v>2040</v>
      </c>
      <c r="B11" t="str">
        <f>IF(ISBLANK(GlobBerMedDisc!$AH$6),"",GlobBerMedDisc!$AH$6)</f>
        <v/>
      </c>
      <c r="C11" s="560"/>
    </row>
    <row r="12" spans="1:6" x14ac:dyDescent="0.2">
      <c r="A12" s="311" t="s">
        <v>2041</v>
      </c>
      <c r="B12" t="str">
        <f>IF(ISBLANK(GlobBerMedDisc!$AH$7),"",GlobBerMedDisc!$AH$7)</f>
        <v/>
      </c>
      <c r="C12" s="560"/>
    </row>
    <row r="13" spans="1:6" x14ac:dyDescent="0.2">
      <c r="A13" s="311" t="s">
        <v>2042</v>
      </c>
      <c r="B13" t="str">
        <f>IF(ISBLANK(GlobBerMedDisc!$AH$8),"",GlobBerMedDisc!$AH$8)</f>
        <v/>
      </c>
      <c r="C13" s="560"/>
      <c r="F13" s="311"/>
    </row>
    <row r="14" spans="1:6" x14ac:dyDescent="0.2">
      <c r="A14" s="311" t="s">
        <v>2043</v>
      </c>
      <c r="B14" t="str">
        <f>IF(ISBLANK(GlobBerMedDisc!$AH$9),"",GlobBerMedDisc!$AH$9)</f>
        <v/>
      </c>
      <c r="C14" s="560"/>
    </row>
    <row r="15" spans="1:6" x14ac:dyDescent="0.2">
      <c r="A15" s="311" t="s">
        <v>2044</v>
      </c>
      <c r="B15" t="str">
        <f>IF(ISBLANK(GlobBerMedDisc!$AH$10),"",GlobBerMedDisc!$AH$10)</f>
        <v/>
      </c>
      <c r="C15" s="560"/>
    </row>
    <row r="16" spans="1:6" x14ac:dyDescent="0.2">
      <c r="A16" s="311" t="s">
        <v>2045</v>
      </c>
      <c r="B16" t="str">
        <f>IF(ISBLANK(GlobBerMedDisc!$AH$11),"",GlobBerMedDisc!$AH$11)</f>
        <v/>
      </c>
      <c r="C16" s="560"/>
    </row>
    <row r="17" spans="1:3" x14ac:dyDescent="0.2">
      <c r="A17" s="311" t="s">
        <v>2046</v>
      </c>
      <c r="B17" t="str">
        <f>IF(ISBLANK(GlobBerMedDisc!$AH$12),"",GlobBerMedDisc!$AH$12)</f>
        <v/>
      </c>
      <c r="C17" s="560"/>
    </row>
    <row r="18" spans="1:3" x14ac:dyDescent="0.2">
      <c r="A18" s="311" t="s">
        <v>2047</v>
      </c>
      <c r="B18" t="str">
        <f>IF(ISBLANK(GlobBerMedDisc!$AH$13),"",GlobBerMedDisc!$AH$13)</f>
        <v/>
      </c>
      <c r="C18" s="560"/>
    </row>
    <row r="19" spans="1:3" x14ac:dyDescent="0.2">
      <c r="A19" s="311" t="s">
        <v>2048</v>
      </c>
      <c r="B19" t="str">
        <f>IF(ISBLANK(GlobBerMedDisc!$AH$14),"",GlobBerMedDisc!$AH$14)</f>
        <v/>
      </c>
      <c r="C19" s="560"/>
    </row>
    <row r="20" spans="1:3" x14ac:dyDescent="0.2">
      <c r="A20" s="311" t="s">
        <v>2049</v>
      </c>
      <c r="B20" t="str">
        <f>IF(ISBLANK(GlobBerMedDisc!$AH$15),"",GlobBerMedDisc!$AH$15)</f>
        <v/>
      </c>
      <c r="C20" s="560"/>
    </row>
    <row r="21" spans="1:3" x14ac:dyDescent="0.2">
      <c r="A21" s="311" t="s">
        <v>2050</v>
      </c>
      <c r="B21" t="str">
        <f>IF(ISBLANK(GlobBerMedDisc!$AH$16),"",GlobBerMedDisc!$AH$16)</f>
        <v/>
      </c>
      <c r="C21" s="560"/>
    </row>
    <row r="22" spans="1:3" x14ac:dyDescent="0.2">
      <c r="A22" s="311" t="s">
        <v>2051</v>
      </c>
      <c r="B22" t="str">
        <f>IF(ISBLANK(GlobBerMedDisc!$AH$17),"",GlobBerMedDisc!$AH$17)</f>
        <v/>
      </c>
      <c r="C22" s="560"/>
    </row>
    <row r="23" spans="1:3" x14ac:dyDescent="0.2">
      <c r="A23" s="311" t="s">
        <v>2052</v>
      </c>
      <c r="B23" t="str">
        <f>IF(ISBLANK(GlobBerMedDisc!$AH$18),"",GlobBerMedDisc!$AH$18)</f>
        <v/>
      </c>
      <c r="C23" s="560"/>
    </row>
    <row r="24" spans="1:3" x14ac:dyDescent="0.2">
      <c r="A24" s="311" t="s">
        <v>2053</v>
      </c>
      <c r="B24" t="str">
        <f>IF(ISBLANK(GlobBerMedDisc!$AH$19),"",GlobBerMedDisc!$AH$19)</f>
        <v/>
      </c>
      <c r="C24" s="560"/>
    </row>
    <row r="25" spans="1:3" x14ac:dyDescent="0.2">
      <c r="A25" s="311" t="s">
        <v>2054</v>
      </c>
      <c r="B25" t="str">
        <f>IF(ISBLANK(GlobBerMedDisc!$AH$20),"",GlobBerMedDisc!$AH$20)</f>
        <v/>
      </c>
      <c r="C25" s="560"/>
    </row>
    <row r="26" spans="1:3" x14ac:dyDescent="0.2">
      <c r="A26" s="311" t="s">
        <v>2055</v>
      </c>
      <c r="B26" t="str">
        <f>IF(ISBLANK(GlobBerMedDisc!$AH$21),"",GlobBerMedDisc!$AH$21)</f>
        <v/>
      </c>
      <c r="C26" s="560"/>
    </row>
    <row r="27" spans="1:3" x14ac:dyDescent="0.2">
      <c r="A27" s="311" t="s">
        <v>2056</v>
      </c>
      <c r="B27" t="str">
        <f>IF(ISBLANK(GlobBerMedDisc!$AH$22),"",GlobBerMedDisc!$AH$22)</f>
        <v/>
      </c>
      <c r="C27" s="560"/>
    </row>
    <row r="28" spans="1:3" x14ac:dyDescent="0.2">
      <c r="A28" s="311" t="s">
        <v>2057</v>
      </c>
      <c r="B28" t="str">
        <f>IF(ISBLANK(GlobBerMedDisc!$AH$23),"",GlobBerMedDisc!$AH$23)</f>
        <v/>
      </c>
      <c r="C28" s="560"/>
    </row>
    <row r="29" spans="1:3" x14ac:dyDescent="0.2">
      <c r="A29" s="311" t="s">
        <v>2058</v>
      </c>
      <c r="B29" t="str">
        <f>IF(ISBLANK(GlobBerMedDisc!$AH$24),"",GlobBerMedDisc!$AH$24)</f>
        <v/>
      </c>
      <c r="C29" s="560"/>
    </row>
    <row r="30" spans="1:3" x14ac:dyDescent="0.2">
      <c r="A30" s="311" t="s">
        <v>2059</v>
      </c>
      <c r="B30" t="str">
        <f>IF(ISBLANK(GlobBerMedDisc!$AH$25),"",GlobBerMedDisc!$AH$25)</f>
        <v/>
      </c>
      <c r="C30" s="560"/>
    </row>
    <row r="31" spans="1:3" x14ac:dyDescent="0.2">
      <c r="A31" s="311" t="s">
        <v>2060</v>
      </c>
      <c r="B31" t="str">
        <f>IF(ISBLANK(GlobBerMedDisc!$AH$26),"",GlobBerMedDisc!$AH$26)</f>
        <v/>
      </c>
      <c r="C31" s="560"/>
    </row>
    <row r="32" spans="1:3" x14ac:dyDescent="0.2">
      <c r="A32" s="311" t="s">
        <v>2061</v>
      </c>
      <c r="B32" t="str">
        <f>IF(ISBLANK(GlobBerMedDisc!$AH$27),"",GlobBerMedDisc!$AH$27)</f>
        <v/>
      </c>
      <c r="C32" s="560"/>
    </row>
    <row r="33" spans="1:6" x14ac:dyDescent="0.2">
      <c r="A33" s="311" t="s">
        <v>2062</v>
      </c>
      <c r="B33" t="str">
        <f>IF(ISBLANK(GlobBerMedDisc!$AH$28),"",GlobBerMedDisc!$AH$28)</f>
        <v/>
      </c>
      <c r="C33" s="560"/>
    </row>
    <row r="34" spans="1:6" x14ac:dyDescent="0.2">
      <c r="A34" s="311" t="s">
        <v>2063</v>
      </c>
      <c r="B34" t="str">
        <f>IF(ISBLANK(GlobBerMedDisc!$AH$29),"",GlobBerMedDisc!$AH$29)</f>
        <v/>
      </c>
      <c r="C34" s="560"/>
    </row>
    <row r="35" spans="1:6" x14ac:dyDescent="0.2">
      <c r="A35" s="311" t="s">
        <v>2064</v>
      </c>
      <c r="B35" t="str">
        <f>IF(ISBLANK(GlobBerMedDisc!$AH$30),"",GlobBerMedDisc!$AH$30)</f>
        <v/>
      </c>
      <c r="C35" s="560"/>
    </row>
    <row r="36" spans="1:6" x14ac:dyDescent="0.2">
      <c r="A36" s="311" t="s">
        <v>2065</v>
      </c>
      <c r="B36" t="str">
        <f>IF(ISBLANK(GlobBerMedDisc!$AH$31),"",GlobBerMedDisc!$AH$31)</f>
        <v/>
      </c>
      <c r="C36" s="560"/>
    </row>
    <row r="37" spans="1:6" x14ac:dyDescent="0.2">
      <c r="A37" s="311" t="s">
        <v>2066</v>
      </c>
      <c r="B37" t="str">
        <f>IF(ISBLANK(GlobBerMedDisc!$F$2),"",GlobBerMedDisc!$F$2)</f>
        <v/>
      </c>
      <c r="C37" s="560"/>
    </row>
    <row r="38" spans="1:6" x14ac:dyDescent="0.2">
      <c r="A38" s="311" t="s">
        <v>2067</v>
      </c>
      <c r="B38" t="str">
        <f>IF(ISBLANK(GlobBerMedDisc!$F$3),"",GlobBerMedDisc!$F$3)</f>
        <v/>
      </c>
      <c r="C38" s="560"/>
    </row>
    <row r="39" spans="1:6" x14ac:dyDescent="0.2">
      <c r="A39" s="311" t="s">
        <v>2068</v>
      </c>
      <c r="B39" t="str">
        <f>IF(ISBLANK(GlobBerMedDisc!$F$4),"",GlobBerMedDisc!$F$4)</f>
        <v/>
      </c>
      <c r="C39" s="560"/>
    </row>
    <row r="40" spans="1:6" x14ac:dyDescent="0.2">
      <c r="A40" s="311" t="s">
        <v>2069</v>
      </c>
      <c r="B40" t="str">
        <f>IF(ISBLANK(GlobBerMedDisc!$F$5),"",GlobBerMedDisc!$F$5)</f>
        <v/>
      </c>
      <c r="C40" s="560"/>
      <c r="F40" s="311"/>
    </row>
    <row r="41" spans="1:6" x14ac:dyDescent="0.2">
      <c r="A41" s="311" t="s">
        <v>2070</v>
      </c>
      <c r="B41" t="str">
        <f>IF(ISBLANK(GlobBerMedDisc!$F$6),"",GlobBerMedDisc!$F$6)</f>
        <v/>
      </c>
      <c r="C41" s="560"/>
    </row>
    <row r="42" spans="1:6" x14ac:dyDescent="0.2">
      <c r="A42" s="311" t="s">
        <v>2071</v>
      </c>
      <c r="B42" t="str">
        <f>IF(ISBLANK(GlobBerMedDisc!$F$7),"",GlobBerMedDisc!$F$7)</f>
        <v/>
      </c>
      <c r="C42" s="560"/>
    </row>
    <row r="43" spans="1:6" x14ac:dyDescent="0.2">
      <c r="A43" s="311" t="s">
        <v>2072</v>
      </c>
      <c r="B43" t="str">
        <f>IF(ISBLANK(GlobBerMedDisc!$F$8),"",GlobBerMedDisc!$F$8)</f>
        <v/>
      </c>
      <c r="C43" s="560"/>
    </row>
    <row r="44" spans="1:6" x14ac:dyDescent="0.2">
      <c r="A44" s="311" t="s">
        <v>2073</v>
      </c>
      <c r="B44" t="str">
        <f>IF(ISBLANK(GlobBerMedDisc!$F$9),"",GlobBerMedDisc!$F$9)</f>
        <v/>
      </c>
      <c r="C44" s="560"/>
    </row>
    <row r="45" spans="1:6" x14ac:dyDescent="0.2">
      <c r="A45" s="311" t="s">
        <v>2074</v>
      </c>
      <c r="B45" t="str">
        <f>IF(ISBLANK(GlobBerMedDisc!$F$10),"",GlobBerMedDisc!$F$10)</f>
        <v/>
      </c>
      <c r="C45" s="560"/>
    </row>
    <row r="46" spans="1:6" x14ac:dyDescent="0.2">
      <c r="A46" s="311" t="s">
        <v>2075</v>
      </c>
      <c r="B46" t="str">
        <f>IF(ISBLANK(GlobBerMedDisc!$F$11),"",GlobBerMedDisc!$F$11)</f>
        <v/>
      </c>
      <c r="C46" s="560"/>
    </row>
    <row r="47" spans="1:6" x14ac:dyDescent="0.2">
      <c r="A47" s="311" t="s">
        <v>2076</v>
      </c>
      <c r="B47" t="str">
        <f>IF(ISBLANK(GlobBerMedDisc!$F$12),"",GlobBerMedDisc!$F$12)</f>
        <v/>
      </c>
      <c r="C47" s="560"/>
    </row>
    <row r="48" spans="1:6" x14ac:dyDescent="0.2">
      <c r="A48" s="311" t="s">
        <v>2077</v>
      </c>
      <c r="B48" t="str">
        <f>IF(ISBLANK(GlobBerMedDisc!$F$13),"",GlobBerMedDisc!$F$13)</f>
        <v/>
      </c>
      <c r="C48" s="560"/>
    </row>
    <row r="49" spans="1:3" x14ac:dyDescent="0.2">
      <c r="A49" s="311" t="s">
        <v>2078</v>
      </c>
      <c r="B49" t="str">
        <f>IF(ISBLANK(GlobBerMedDisc!$F$14),"",GlobBerMedDisc!$F$14)</f>
        <v/>
      </c>
      <c r="C49" s="560"/>
    </row>
    <row r="50" spans="1:3" x14ac:dyDescent="0.2">
      <c r="A50" s="311" t="s">
        <v>2079</v>
      </c>
      <c r="B50" t="str">
        <f>IF(ISBLANK(GlobBerMedDisc!$F$15),"",GlobBerMedDisc!$F$15)</f>
        <v/>
      </c>
      <c r="C50" s="560"/>
    </row>
    <row r="51" spans="1:3" x14ac:dyDescent="0.2">
      <c r="A51" s="311" t="s">
        <v>2080</v>
      </c>
      <c r="B51" t="str">
        <f>IF(ISBLANK(GlobBerMedDisc!$F$16),"",GlobBerMedDisc!$F$16)</f>
        <v/>
      </c>
      <c r="C51" s="560"/>
    </row>
    <row r="52" spans="1:3" x14ac:dyDescent="0.2">
      <c r="A52" s="311" t="s">
        <v>2081</v>
      </c>
      <c r="B52" t="str">
        <f>IF(ISBLANK(GlobBerMedDisc!$F$17),"",GlobBerMedDisc!$F$17)</f>
        <v/>
      </c>
      <c r="C52" s="560"/>
    </row>
    <row r="53" spans="1:3" x14ac:dyDescent="0.2">
      <c r="A53" s="311" t="s">
        <v>2082</v>
      </c>
      <c r="B53" t="str">
        <f>IF(ISBLANK(GlobBerMedDisc!$F$18),"",GlobBerMedDisc!$F$18)</f>
        <v/>
      </c>
      <c r="C53" s="560"/>
    </row>
    <row r="54" spans="1:3" x14ac:dyDescent="0.2">
      <c r="A54" s="311" t="s">
        <v>2083</v>
      </c>
      <c r="B54" t="str">
        <f>IF(ISBLANK(GlobBerMedDisc!$F$19),"",GlobBerMedDisc!$F$19)</f>
        <v/>
      </c>
      <c r="C54" s="560"/>
    </row>
    <row r="55" spans="1:3" x14ac:dyDescent="0.2">
      <c r="A55" s="311" t="s">
        <v>2084</v>
      </c>
      <c r="B55" t="str">
        <f>IF(ISBLANK(GlobBerMedDisc!$F$20),"",GlobBerMedDisc!$F$20)</f>
        <v/>
      </c>
      <c r="C55" s="560"/>
    </row>
    <row r="56" spans="1:3" x14ac:dyDescent="0.2">
      <c r="A56" s="311" t="s">
        <v>2085</v>
      </c>
      <c r="B56" t="str">
        <f>IF(ISBLANK(GlobBerMedDisc!$F$21),"",GlobBerMedDisc!$F$21)</f>
        <v/>
      </c>
      <c r="C56" s="560"/>
    </row>
    <row r="57" spans="1:3" x14ac:dyDescent="0.2">
      <c r="A57" s="311" t="s">
        <v>2086</v>
      </c>
      <c r="B57" t="str">
        <f>IF(ISBLANK(GlobBerMedDisc!$F$22),"",GlobBerMedDisc!$F$22)</f>
        <v/>
      </c>
      <c r="C57" s="560"/>
    </row>
    <row r="58" spans="1:3" x14ac:dyDescent="0.2">
      <c r="A58" s="311" t="s">
        <v>2087</v>
      </c>
      <c r="B58" t="str">
        <f>IF(ISBLANK(GlobBerMedDisc!$F$23),"",GlobBerMedDisc!$F$23)</f>
        <v/>
      </c>
      <c r="C58" s="560"/>
    </row>
    <row r="59" spans="1:3" x14ac:dyDescent="0.2">
      <c r="A59" s="311" t="s">
        <v>2088</v>
      </c>
      <c r="B59" t="str">
        <f>IF(ISBLANK(GlobBerMedDisc!$F$24),"",GlobBerMedDisc!$F$24)</f>
        <v/>
      </c>
      <c r="C59" s="560"/>
    </row>
    <row r="60" spans="1:3" x14ac:dyDescent="0.2">
      <c r="A60" s="311" t="s">
        <v>2089</v>
      </c>
      <c r="B60" t="str">
        <f>IF(ISBLANK(GlobBerMedDisc!$F$25),"",GlobBerMedDisc!$F$25)</f>
        <v/>
      </c>
      <c r="C60" s="560"/>
    </row>
    <row r="61" spans="1:3" x14ac:dyDescent="0.2">
      <c r="A61" s="311" t="s">
        <v>2090</v>
      </c>
      <c r="B61" t="str">
        <f>IF(ISBLANK(GlobBerMedDisc!$F$26),"",GlobBerMedDisc!$F$26)</f>
        <v/>
      </c>
      <c r="C61" s="560"/>
    </row>
    <row r="62" spans="1:3" x14ac:dyDescent="0.2">
      <c r="A62" s="311" t="s">
        <v>2091</v>
      </c>
      <c r="B62" t="str">
        <f>IF(ISBLANK(GlobBerMedDisc!$F$27),"",GlobBerMedDisc!$F$27)</f>
        <v/>
      </c>
      <c r="C62" s="560"/>
    </row>
    <row r="63" spans="1:3" x14ac:dyDescent="0.2">
      <c r="A63" s="311" t="s">
        <v>2092</v>
      </c>
      <c r="B63" t="str">
        <f>IF(ISBLANK(GlobBerMedDisc!$F$28),"",GlobBerMedDisc!$F$28)</f>
        <v/>
      </c>
      <c r="C63" s="560"/>
    </row>
    <row r="64" spans="1:3" x14ac:dyDescent="0.2">
      <c r="A64" s="311" t="s">
        <v>2093</v>
      </c>
      <c r="B64" t="str">
        <f>IF(ISBLANK(GlobBerMedDisc!$F$29),"",GlobBerMedDisc!$F$29)</f>
        <v/>
      </c>
      <c r="C64" s="560"/>
    </row>
    <row r="65" spans="1:3" x14ac:dyDescent="0.2">
      <c r="A65" s="311" t="s">
        <v>2094</v>
      </c>
      <c r="B65" t="str">
        <f>IF(ISBLANK(GlobBerMedDisc!$F$30),"",GlobBerMedDisc!$F$30)</f>
        <v/>
      </c>
      <c r="C65" s="560"/>
    </row>
    <row r="66" spans="1:3" x14ac:dyDescent="0.2">
      <c r="A66" s="311" t="s">
        <v>2095</v>
      </c>
      <c r="B66" t="str">
        <f>IF(ISBLANK(GlobBerMedDisc!$F$31),"",GlobBerMedDisc!$F$31)</f>
        <v/>
      </c>
      <c r="C66" s="560"/>
    </row>
    <row r="67" spans="1:3" x14ac:dyDescent="0.2">
      <c r="A67" s="311" t="s">
        <v>2096</v>
      </c>
      <c r="B67">
        <f>IF(ISBLANK(GlobBerMedDisc!$G$2),"",GlobBerMedDisc!$G$2)</f>
        <v>0</v>
      </c>
      <c r="C67" s="313">
        <v>0</v>
      </c>
    </row>
    <row r="68" spans="1:3" x14ac:dyDescent="0.2">
      <c r="A68" s="311" t="s">
        <v>2097</v>
      </c>
      <c r="B68">
        <f>IF(ISBLANK(GlobBerMedDisc!$G$3),"",GlobBerMedDisc!$G$3)</f>
        <v>0</v>
      </c>
      <c r="C68" s="313">
        <v>0</v>
      </c>
    </row>
    <row r="69" spans="1:3" x14ac:dyDescent="0.2">
      <c r="A69" s="311" t="s">
        <v>2098</v>
      </c>
      <c r="B69">
        <f>IF(ISBLANK(GlobBerMedDisc!$G$4),"",GlobBerMedDisc!$G$4)</f>
        <v>0</v>
      </c>
      <c r="C69" s="313">
        <v>0</v>
      </c>
    </row>
    <row r="70" spans="1:3" x14ac:dyDescent="0.2">
      <c r="A70" s="311" t="s">
        <v>2099</v>
      </c>
      <c r="B70">
        <f>IF(ISBLANK(GlobBerMedDisc!$G$5),"",GlobBerMedDisc!$G$5)</f>
        <v>0</v>
      </c>
      <c r="C70" s="313">
        <v>0</v>
      </c>
    </row>
    <row r="71" spans="1:3" x14ac:dyDescent="0.2">
      <c r="A71" s="311" t="s">
        <v>2100</v>
      </c>
      <c r="B71" s="311">
        <f>IF(ISBLANK(GlobBerMedDisc!$G$6),"",GlobBerMedDisc!$G$6)</f>
        <v>0</v>
      </c>
      <c r="C71" s="313">
        <v>0</v>
      </c>
    </row>
    <row r="72" spans="1:3" x14ac:dyDescent="0.2">
      <c r="A72" s="311" t="s">
        <v>2101</v>
      </c>
      <c r="B72" s="311">
        <f>IF(ISBLANK(GlobBerMedDisc!$G$7),"",GlobBerMedDisc!$G$7)</f>
        <v>0</v>
      </c>
      <c r="C72" s="313">
        <v>0</v>
      </c>
    </row>
    <row r="73" spans="1:3" x14ac:dyDescent="0.2">
      <c r="A73" s="311" t="s">
        <v>2102</v>
      </c>
      <c r="B73" s="311">
        <f>IF(ISBLANK(GlobBerMedDisc!$G$8),"",GlobBerMedDisc!$G$8)</f>
        <v>0</v>
      </c>
      <c r="C73" s="313">
        <v>0</v>
      </c>
    </row>
    <row r="74" spans="1:3" x14ac:dyDescent="0.2">
      <c r="A74" s="311" t="s">
        <v>2103</v>
      </c>
      <c r="B74" s="311">
        <f>IF(ISBLANK(GlobBerMedDisc!$G$9),"",GlobBerMedDisc!$G$9)</f>
        <v>0</v>
      </c>
      <c r="C74" s="313">
        <v>0</v>
      </c>
    </row>
    <row r="75" spans="1:3" x14ac:dyDescent="0.2">
      <c r="A75" s="311" t="s">
        <v>2104</v>
      </c>
      <c r="B75" s="311">
        <f>IF(ISBLANK(GlobBerMedDisc!$G$10),"",GlobBerMedDisc!$G$10)</f>
        <v>0</v>
      </c>
      <c r="C75" s="313">
        <v>0</v>
      </c>
    </row>
    <row r="76" spans="1:3" x14ac:dyDescent="0.2">
      <c r="A76" s="311" t="s">
        <v>2105</v>
      </c>
      <c r="B76" s="311">
        <f>IF(ISBLANK(GlobBerMedDisc!$G$11),"",GlobBerMedDisc!$G$11)</f>
        <v>0</v>
      </c>
      <c r="C76" s="313">
        <v>0</v>
      </c>
    </row>
    <row r="77" spans="1:3" x14ac:dyDescent="0.2">
      <c r="A77" s="311" t="s">
        <v>2106</v>
      </c>
      <c r="B77" s="311">
        <f>IF(ISBLANK(GlobBerMedDisc!$G$12),"",GlobBerMedDisc!$G$12)</f>
        <v>0</v>
      </c>
      <c r="C77" s="313">
        <v>0</v>
      </c>
    </row>
    <row r="78" spans="1:3" x14ac:dyDescent="0.2">
      <c r="A78" s="311" t="s">
        <v>2107</v>
      </c>
      <c r="B78" s="311">
        <f>IF(ISBLANK(GlobBerMedDisc!$G$13),"",GlobBerMedDisc!$G$13)</f>
        <v>0</v>
      </c>
      <c r="C78" s="313">
        <v>0</v>
      </c>
    </row>
    <row r="79" spans="1:3" x14ac:dyDescent="0.2">
      <c r="A79" s="311" t="s">
        <v>2108</v>
      </c>
      <c r="B79">
        <f>IF(ISBLANK(GlobBerMedDisc!$G$14),"",GlobBerMedDisc!$G$14)</f>
        <v>0</v>
      </c>
      <c r="C79" s="313">
        <v>0</v>
      </c>
    </row>
    <row r="80" spans="1:3" x14ac:dyDescent="0.2">
      <c r="A80" s="311" t="s">
        <v>2109</v>
      </c>
      <c r="B80">
        <f>IF(ISBLANK(GlobBerMedDisc!$G$15),"",GlobBerMedDisc!$G$15)</f>
        <v>0</v>
      </c>
      <c r="C80" s="313">
        <v>0</v>
      </c>
    </row>
    <row r="81" spans="1:3" x14ac:dyDescent="0.2">
      <c r="A81" s="311" t="s">
        <v>2110</v>
      </c>
      <c r="B81">
        <f>IF(ISBLANK(GlobBerMedDisc!$G$16),"",GlobBerMedDisc!$G$16)</f>
        <v>0</v>
      </c>
      <c r="C81" s="313">
        <v>0</v>
      </c>
    </row>
    <row r="82" spans="1:3" x14ac:dyDescent="0.2">
      <c r="A82" s="311" t="s">
        <v>2111</v>
      </c>
      <c r="B82">
        <f>IF(ISBLANK(GlobBerMedDisc!$G$17),"",GlobBerMedDisc!$G$17)</f>
        <v>0</v>
      </c>
      <c r="C82" s="313">
        <v>0</v>
      </c>
    </row>
    <row r="83" spans="1:3" x14ac:dyDescent="0.2">
      <c r="A83" s="311" t="s">
        <v>2112</v>
      </c>
      <c r="B83">
        <f>IF(ISBLANK(GlobBerMedDisc!$G$18),"",GlobBerMedDisc!$G$18)</f>
        <v>0</v>
      </c>
      <c r="C83" s="313">
        <v>0</v>
      </c>
    </row>
    <row r="84" spans="1:3" x14ac:dyDescent="0.2">
      <c r="A84" s="311" t="s">
        <v>2113</v>
      </c>
      <c r="B84">
        <f>IF(ISBLANK(GlobBerMedDisc!$G$19),"",GlobBerMedDisc!$G$19)</f>
        <v>0</v>
      </c>
      <c r="C84" s="313">
        <v>0</v>
      </c>
    </row>
    <row r="85" spans="1:3" x14ac:dyDescent="0.2">
      <c r="A85" s="311" t="s">
        <v>2114</v>
      </c>
      <c r="B85">
        <f>IF(ISBLANK(GlobBerMedDisc!$G$20),"",GlobBerMedDisc!$G$20)</f>
        <v>0</v>
      </c>
      <c r="C85" s="313">
        <v>0</v>
      </c>
    </row>
    <row r="86" spans="1:3" x14ac:dyDescent="0.2">
      <c r="A86" s="311" t="s">
        <v>2115</v>
      </c>
      <c r="B86">
        <f>IF(ISBLANK(GlobBerMedDisc!$G$21),"",GlobBerMedDisc!$G$21)</f>
        <v>0</v>
      </c>
      <c r="C86" s="313">
        <v>0</v>
      </c>
    </row>
    <row r="87" spans="1:3" x14ac:dyDescent="0.2">
      <c r="A87" s="311" t="s">
        <v>2116</v>
      </c>
      <c r="B87">
        <f>IF(ISBLANK(GlobBerMedDisc!$G$22),"",GlobBerMedDisc!$G$22)</f>
        <v>0</v>
      </c>
      <c r="C87" s="313">
        <v>0</v>
      </c>
    </row>
    <row r="88" spans="1:3" x14ac:dyDescent="0.2">
      <c r="A88" s="311" t="s">
        <v>2117</v>
      </c>
      <c r="B88">
        <f>IF(ISBLANK(GlobBerMedDisc!$G$23),"",GlobBerMedDisc!$G$23)</f>
        <v>0</v>
      </c>
      <c r="C88" s="313">
        <v>0</v>
      </c>
    </row>
    <row r="89" spans="1:3" x14ac:dyDescent="0.2">
      <c r="A89" s="311" t="s">
        <v>2118</v>
      </c>
      <c r="B89">
        <f>IF(ISBLANK(GlobBerMedDisc!$G$24),"",GlobBerMedDisc!$G$24)</f>
        <v>0</v>
      </c>
      <c r="C89" s="313">
        <v>0</v>
      </c>
    </row>
    <row r="90" spans="1:3" x14ac:dyDescent="0.2">
      <c r="A90" s="311" t="s">
        <v>2119</v>
      </c>
      <c r="B90">
        <f>IF(ISBLANK(GlobBerMedDisc!$G$25),"",GlobBerMedDisc!$G$25)</f>
        <v>0</v>
      </c>
      <c r="C90" s="313">
        <v>0</v>
      </c>
    </row>
    <row r="91" spans="1:3" x14ac:dyDescent="0.2">
      <c r="A91" s="311" t="s">
        <v>2120</v>
      </c>
      <c r="B91">
        <f>IF(ISBLANK(GlobBerMedDisc!$G$26),"",GlobBerMedDisc!$G$26)</f>
        <v>0</v>
      </c>
      <c r="C91" s="313">
        <v>0</v>
      </c>
    </row>
    <row r="92" spans="1:3" x14ac:dyDescent="0.2">
      <c r="A92" s="311" t="s">
        <v>2121</v>
      </c>
      <c r="B92">
        <f>IF(ISBLANK(GlobBerMedDisc!$G$27),"",GlobBerMedDisc!$G$27)</f>
        <v>0</v>
      </c>
      <c r="C92" s="313">
        <v>0</v>
      </c>
    </row>
    <row r="93" spans="1:3" x14ac:dyDescent="0.2">
      <c r="A93" s="311" t="s">
        <v>2122</v>
      </c>
      <c r="B93">
        <f>IF(ISBLANK(GlobBerMedDisc!$G$28),"",GlobBerMedDisc!$G$28)</f>
        <v>0</v>
      </c>
      <c r="C93" s="313">
        <v>0</v>
      </c>
    </row>
    <row r="94" spans="1:3" x14ac:dyDescent="0.2">
      <c r="A94" s="311" t="s">
        <v>2123</v>
      </c>
      <c r="B94">
        <f>IF(ISBLANK(GlobBerMedDisc!$G$29),"",GlobBerMedDisc!$G$29)</f>
        <v>0</v>
      </c>
      <c r="C94" s="313">
        <v>0</v>
      </c>
    </row>
    <row r="95" spans="1:3" x14ac:dyDescent="0.2">
      <c r="A95" s="311" t="s">
        <v>2124</v>
      </c>
      <c r="B95">
        <f>IF(ISBLANK(GlobBerMedDisc!$G$30),"",GlobBerMedDisc!$G$30)</f>
        <v>0</v>
      </c>
      <c r="C95" s="313">
        <v>0</v>
      </c>
    </row>
    <row r="96" spans="1:3" x14ac:dyDescent="0.2">
      <c r="A96" s="311" t="s">
        <v>2125</v>
      </c>
      <c r="B96">
        <f>IF(ISBLANK(GlobBerMedDisc!$G$31),"",GlobBerMedDisc!$G$31)</f>
        <v>0</v>
      </c>
      <c r="C96" s="313">
        <v>0</v>
      </c>
    </row>
    <row r="97" spans="1:3" x14ac:dyDescent="0.2">
      <c r="A97" s="311" t="s">
        <v>2126</v>
      </c>
      <c r="B97" t="str">
        <f>IF(ISBLANK(GlobBerMedDisc!$AK$2),"",GlobBerMedDisc!$AK$2)</f>
        <v/>
      </c>
      <c r="C97" s="130"/>
    </row>
    <row r="98" spans="1:3" x14ac:dyDescent="0.2">
      <c r="A98" s="311" t="s">
        <v>2127</v>
      </c>
      <c r="B98" t="str">
        <f>IF(ISBLANK(GlobBerMedDisc!$AK$3),"",GlobBerMedDisc!$AK$3)</f>
        <v/>
      </c>
      <c r="C98" s="130"/>
    </row>
    <row r="99" spans="1:3" x14ac:dyDescent="0.2">
      <c r="A99" s="311" t="s">
        <v>2128</v>
      </c>
      <c r="B99" t="str">
        <f>IF(ISBLANK(GlobBerMedDisc!$AK$4),"",GlobBerMedDisc!$AK$4)</f>
        <v/>
      </c>
      <c r="C99" s="130"/>
    </row>
    <row r="100" spans="1:3" x14ac:dyDescent="0.2">
      <c r="A100" s="311" t="s">
        <v>2129</v>
      </c>
      <c r="B100" t="str">
        <f>IF(ISBLANK(GlobBerMedDisc!$AK$5),"",GlobBerMedDisc!$AK$5)</f>
        <v/>
      </c>
      <c r="C100" s="130"/>
    </row>
    <row r="101" spans="1:3" x14ac:dyDescent="0.2">
      <c r="A101" s="311" t="s">
        <v>2130</v>
      </c>
      <c r="B101" t="str">
        <f>IF(ISBLANK(GlobBerMedDisc!$AK$6),"",GlobBerMedDisc!$AK$6)</f>
        <v/>
      </c>
      <c r="C101" s="130"/>
    </row>
    <row r="102" spans="1:3" x14ac:dyDescent="0.2">
      <c r="A102" s="311" t="s">
        <v>2131</v>
      </c>
      <c r="B102" t="str">
        <f>IF(ISBLANK(GlobBerMedDisc!$AK$7),"",GlobBerMedDisc!$AK$7)</f>
        <v/>
      </c>
      <c r="C102" s="130"/>
    </row>
    <row r="103" spans="1:3" x14ac:dyDescent="0.2">
      <c r="A103" s="311" t="s">
        <v>2132</v>
      </c>
      <c r="B103" t="str">
        <f>IF(ISBLANK(GlobBerMedDisc!$AK$8),"",GlobBerMedDisc!$AK$8)</f>
        <v/>
      </c>
      <c r="C103" s="130"/>
    </row>
    <row r="104" spans="1:3" x14ac:dyDescent="0.2">
      <c r="A104" s="311" t="s">
        <v>2133</v>
      </c>
      <c r="B104" t="str">
        <f>IF(ISBLANK(GlobBerMedDisc!$AK$9),"",GlobBerMedDisc!$AK$9)</f>
        <v/>
      </c>
      <c r="C104" s="130"/>
    </row>
    <row r="105" spans="1:3" x14ac:dyDescent="0.2">
      <c r="A105" s="311" t="s">
        <v>2134</v>
      </c>
      <c r="B105" t="str">
        <f>IF(ISBLANK(GlobBerMedDisc!$AK$10),"",GlobBerMedDisc!$AK$10)</f>
        <v/>
      </c>
      <c r="C105" s="130"/>
    </row>
    <row r="106" spans="1:3" x14ac:dyDescent="0.2">
      <c r="A106" s="311" t="s">
        <v>2135</v>
      </c>
      <c r="B106" t="str">
        <f>IF(ISBLANK(GlobBerMedDisc!$AK$11),"",GlobBerMedDisc!$AK$11)</f>
        <v/>
      </c>
      <c r="C106" s="130"/>
    </row>
    <row r="107" spans="1:3" x14ac:dyDescent="0.2">
      <c r="A107" s="311" t="s">
        <v>2136</v>
      </c>
      <c r="B107" t="str">
        <f>IF(ISBLANK(GlobBerMedDisc!$AK$12),"",GlobBerMedDisc!$AK$12)</f>
        <v/>
      </c>
      <c r="C107" s="130"/>
    </row>
    <row r="108" spans="1:3" x14ac:dyDescent="0.2">
      <c r="A108" s="311" t="s">
        <v>2137</v>
      </c>
      <c r="B108" t="str">
        <f>IF(ISBLANK(GlobBerMedDisc!$AK$13),"",GlobBerMedDisc!$AK$13)</f>
        <v/>
      </c>
      <c r="C108" s="130"/>
    </row>
    <row r="109" spans="1:3" x14ac:dyDescent="0.2">
      <c r="A109" s="311" t="s">
        <v>2138</v>
      </c>
      <c r="B109" t="str">
        <f>IF(ISBLANK(GlobBerMedDisc!$AK$14),"",GlobBerMedDisc!$AK$14)</f>
        <v/>
      </c>
      <c r="C109" s="130"/>
    </row>
    <row r="110" spans="1:3" x14ac:dyDescent="0.2">
      <c r="A110" s="311" t="s">
        <v>2139</v>
      </c>
      <c r="B110" t="str">
        <f>IF(ISBLANK(GlobBerMedDisc!$AK$15),"",GlobBerMedDisc!$AK$15)</f>
        <v/>
      </c>
      <c r="C110" s="130"/>
    </row>
    <row r="111" spans="1:3" x14ac:dyDescent="0.2">
      <c r="A111" s="311" t="s">
        <v>2140</v>
      </c>
      <c r="B111" t="str">
        <f>IF(ISBLANK(GlobBerMedDisc!$AK$16),"",GlobBerMedDisc!$AK$16)</f>
        <v/>
      </c>
      <c r="C111" s="130"/>
    </row>
    <row r="112" spans="1:3" x14ac:dyDescent="0.2">
      <c r="A112" s="311" t="s">
        <v>2141</v>
      </c>
      <c r="B112" t="str">
        <f>IF(ISBLANK(GlobBerMedDisc!$AK$17),"",GlobBerMedDisc!$AK$17)</f>
        <v/>
      </c>
      <c r="C112" s="130"/>
    </row>
    <row r="113" spans="1:3" x14ac:dyDescent="0.2">
      <c r="A113" s="311" t="s">
        <v>2142</v>
      </c>
      <c r="B113" t="str">
        <f>IF(ISBLANK(GlobBerMedDisc!$AK$18),"",GlobBerMedDisc!$AK$18)</f>
        <v/>
      </c>
      <c r="C113" s="130"/>
    </row>
    <row r="114" spans="1:3" x14ac:dyDescent="0.2">
      <c r="A114" s="311" t="s">
        <v>2143</v>
      </c>
      <c r="B114" t="str">
        <f>IF(ISBLANK(GlobBerMedDisc!$AK$19),"",GlobBerMedDisc!$AK$19)</f>
        <v/>
      </c>
      <c r="C114" s="130"/>
    </row>
    <row r="115" spans="1:3" x14ac:dyDescent="0.2">
      <c r="A115" s="311" t="s">
        <v>2144</v>
      </c>
      <c r="B115" t="str">
        <f>IF(ISBLANK(GlobBerMedDisc!$AK$20),"",GlobBerMedDisc!$AK$20)</f>
        <v/>
      </c>
      <c r="C115" s="130"/>
    </row>
    <row r="116" spans="1:3" x14ac:dyDescent="0.2">
      <c r="A116" s="311" t="s">
        <v>2145</v>
      </c>
      <c r="B116" t="str">
        <f>IF(ISBLANK(GlobBerMedDisc!$AK$21),"",GlobBerMedDisc!$AK$21)</f>
        <v/>
      </c>
      <c r="C116" s="130"/>
    </row>
    <row r="117" spans="1:3" x14ac:dyDescent="0.2">
      <c r="A117" s="311" t="s">
        <v>2146</v>
      </c>
      <c r="B117" t="str">
        <f>IF(ISBLANK(GlobBerMedDisc!$AK$22),"",GlobBerMedDisc!$AK$22)</f>
        <v/>
      </c>
      <c r="C117" s="130"/>
    </row>
    <row r="118" spans="1:3" x14ac:dyDescent="0.2">
      <c r="A118" s="311" t="s">
        <v>2147</v>
      </c>
      <c r="B118" t="str">
        <f>IF(ISBLANK(GlobBerMedDisc!$AK$23),"",GlobBerMedDisc!$AK$23)</f>
        <v/>
      </c>
      <c r="C118" s="130"/>
    </row>
    <row r="119" spans="1:3" x14ac:dyDescent="0.2">
      <c r="A119" s="311" t="s">
        <v>2148</v>
      </c>
      <c r="B119" t="str">
        <f>IF(ISBLANK(GlobBerMedDisc!$AK$24),"",GlobBerMedDisc!$AK$24)</f>
        <v/>
      </c>
      <c r="C119" s="130"/>
    </row>
    <row r="120" spans="1:3" x14ac:dyDescent="0.2">
      <c r="A120" s="311" t="s">
        <v>2149</v>
      </c>
      <c r="B120" t="str">
        <f>IF(ISBLANK(GlobBerMedDisc!$AK$25),"",GlobBerMedDisc!$AK$25)</f>
        <v/>
      </c>
      <c r="C120" s="130"/>
    </row>
    <row r="121" spans="1:3" x14ac:dyDescent="0.2">
      <c r="A121" s="311" t="s">
        <v>2150</v>
      </c>
      <c r="B121" t="str">
        <f>IF(ISBLANK(GlobBerMedDisc!$AK$26),"",GlobBerMedDisc!$AK$26)</f>
        <v/>
      </c>
      <c r="C121" s="130"/>
    </row>
    <row r="122" spans="1:3" x14ac:dyDescent="0.2">
      <c r="A122" s="311" t="s">
        <v>2151</v>
      </c>
      <c r="B122" t="str">
        <f>IF(ISBLANK(GlobBerMedDisc!$AK$27),"",GlobBerMedDisc!$AK$27)</f>
        <v/>
      </c>
      <c r="C122" s="130"/>
    </row>
    <row r="123" spans="1:3" x14ac:dyDescent="0.2">
      <c r="A123" s="311" t="s">
        <v>2152</v>
      </c>
      <c r="B123" t="str">
        <f>IF(ISBLANK(GlobBerMedDisc!$AK$28),"",GlobBerMedDisc!$AK$28)</f>
        <v/>
      </c>
      <c r="C123" s="130"/>
    </row>
    <row r="124" spans="1:3" x14ac:dyDescent="0.2">
      <c r="A124" s="311" t="s">
        <v>2153</v>
      </c>
      <c r="B124" t="str">
        <f>IF(ISBLANK(GlobBerMedDisc!$AK$29),"",GlobBerMedDisc!$AK$29)</f>
        <v/>
      </c>
      <c r="C124" s="130"/>
    </row>
    <row r="125" spans="1:3" x14ac:dyDescent="0.2">
      <c r="A125" s="311" t="s">
        <v>2154</v>
      </c>
      <c r="B125" t="str">
        <f>IF(ISBLANK(GlobBerMedDisc!$AK$30),"",GlobBerMedDisc!$AK$30)</f>
        <v/>
      </c>
      <c r="C125" s="130"/>
    </row>
    <row r="126" spans="1:3" x14ac:dyDescent="0.2">
      <c r="A126" s="311" t="s">
        <v>2155</v>
      </c>
      <c r="B126" t="str">
        <f>IF(ISBLANK(GlobBerMedDisc!$AK$31),"",GlobBerMedDisc!$AK$31)</f>
        <v/>
      </c>
      <c r="C126" s="130"/>
    </row>
    <row r="127" spans="1:3" x14ac:dyDescent="0.2">
      <c r="A127" s="311" t="s">
        <v>2156</v>
      </c>
      <c r="B127" t="str">
        <f>IF(ISBLANK(GlobBerMedDisc!$D$2),"",GlobBerMedDisc!$D$2)</f>
        <v/>
      </c>
      <c r="C127" s="130"/>
    </row>
    <row r="128" spans="1:3" x14ac:dyDescent="0.2">
      <c r="A128" s="311" t="s">
        <v>2157</v>
      </c>
      <c r="B128" t="str">
        <f>IF(ISBLANK(GlobBerMedDisc!$D$3),"",GlobBerMedDisc!$D$3)</f>
        <v/>
      </c>
      <c r="C128" s="130"/>
    </row>
    <row r="129" spans="1:3" x14ac:dyDescent="0.2">
      <c r="A129" s="311" t="s">
        <v>2158</v>
      </c>
      <c r="B129" t="str">
        <f>IF(ISBLANK(GlobBerMedDisc!$D$4),"",GlobBerMedDisc!$D$4)</f>
        <v/>
      </c>
      <c r="C129" s="130"/>
    </row>
    <row r="130" spans="1:3" x14ac:dyDescent="0.2">
      <c r="A130" s="311" t="s">
        <v>2159</v>
      </c>
      <c r="B130" t="str">
        <f>IF(ISBLANK(GlobBerMedDisc!$D$5),"",GlobBerMedDisc!$D$5)</f>
        <v/>
      </c>
      <c r="C130" s="130"/>
    </row>
    <row r="131" spans="1:3" x14ac:dyDescent="0.2">
      <c r="A131" s="311" t="s">
        <v>2160</v>
      </c>
      <c r="B131" t="str">
        <f>IF(ISBLANK(GlobBerMedDisc!$D$6),"",GlobBerMedDisc!$D$6)</f>
        <v/>
      </c>
      <c r="C131" s="130"/>
    </row>
    <row r="132" spans="1:3" x14ac:dyDescent="0.2">
      <c r="A132" s="311" t="s">
        <v>2161</v>
      </c>
      <c r="B132" t="str">
        <f>IF(ISBLANK(GlobBerMedDisc!$D$7),"",GlobBerMedDisc!$D$7)</f>
        <v/>
      </c>
      <c r="C132" s="130"/>
    </row>
    <row r="133" spans="1:3" x14ac:dyDescent="0.2">
      <c r="A133" s="311" t="s">
        <v>2162</v>
      </c>
      <c r="B133" t="str">
        <f>IF(ISBLANK(GlobBerMedDisc!$D$8),"",GlobBerMedDisc!$D$8)</f>
        <v/>
      </c>
      <c r="C133" s="130"/>
    </row>
    <row r="134" spans="1:3" x14ac:dyDescent="0.2">
      <c r="A134" s="311" t="s">
        <v>2163</v>
      </c>
      <c r="B134" t="str">
        <f>IF(ISBLANK(GlobBerMedDisc!$D$9),"",GlobBerMedDisc!$D$9)</f>
        <v/>
      </c>
      <c r="C134" s="130"/>
    </row>
    <row r="135" spans="1:3" x14ac:dyDescent="0.2">
      <c r="A135" s="311" t="s">
        <v>2164</v>
      </c>
      <c r="B135" t="str">
        <f>IF(ISBLANK(GlobBerMedDisc!$D$10),"",GlobBerMedDisc!$D$10)</f>
        <v/>
      </c>
      <c r="C135" s="130"/>
    </row>
    <row r="136" spans="1:3" x14ac:dyDescent="0.2">
      <c r="A136" s="311" t="s">
        <v>2165</v>
      </c>
      <c r="B136" t="str">
        <f>IF(ISBLANK(GlobBerMedDisc!$D$11),"",GlobBerMedDisc!$D$11)</f>
        <v/>
      </c>
      <c r="C136" s="130"/>
    </row>
    <row r="137" spans="1:3" x14ac:dyDescent="0.2">
      <c r="A137" s="311" t="s">
        <v>2166</v>
      </c>
      <c r="B137" t="str">
        <f>IF(ISBLANK(GlobBerMedDisc!$D$12),"",GlobBerMedDisc!$D$12)</f>
        <v/>
      </c>
      <c r="C137" s="130"/>
    </row>
    <row r="138" spans="1:3" x14ac:dyDescent="0.2">
      <c r="A138" s="311" t="s">
        <v>2167</v>
      </c>
      <c r="B138" t="str">
        <f>IF(ISBLANK(GlobBerMedDisc!$D$13),"",GlobBerMedDisc!$D$13)</f>
        <v/>
      </c>
      <c r="C138" s="130"/>
    </row>
    <row r="139" spans="1:3" x14ac:dyDescent="0.2">
      <c r="A139" s="311" t="s">
        <v>2168</v>
      </c>
      <c r="B139" t="str">
        <f>IF(ISBLANK(GlobBerMedDisc!$D$14),"",GlobBerMedDisc!$D$14)</f>
        <v/>
      </c>
      <c r="C139" s="130"/>
    </row>
    <row r="140" spans="1:3" x14ac:dyDescent="0.2">
      <c r="A140" s="311" t="s">
        <v>2169</v>
      </c>
      <c r="B140" t="str">
        <f>IF(ISBLANK(GlobBerMedDisc!$D$15),"",GlobBerMedDisc!$D$15)</f>
        <v/>
      </c>
      <c r="C140" s="130"/>
    </row>
    <row r="141" spans="1:3" x14ac:dyDescent="0.2">
      <c r="A141" s="311" t="s">
        <v>2170</v>
      </c>
      <c r="B141" t="str">
        <f>IF(ISBLANK(GlobBerMedDisc!$D$16),"",GlobBerMedDisc!$D$16)</f>
        <v/>
      </c>
      <c r="C141" s="130"/>
    </row>
    <row r="142" spans="1:3" x14ac:dyDescent="0.2">
      <c r="A142" s="311" t="s">
        <v>2171</v>
      </c>
      <c r="B142" t="str">
        <f>IF(ISBLANK(GlobBerMedDisc!$D$17),"",GlobBerMedDisc!$D$17)</f>
        <v/>
      </c>
      <c r="C142" s="130"/>
    </row>
    <row r="143" spans="1:3" x14ac:dyDescent="0.2">
      <c r="A143" s="311" t="s">
        <v>2172</v>
      </c>
      <c r="B143" t="str">
        <f>IF(ISBLANK(GlobBerMedDisc!$D$18),"",GlobBerMedDisc!$D$18)</f>
        <v/>
      </c>
      <c r="C143" s="130"/>
    </row>
    <row r="144" spans="1:3" x14ac:dyDescent="0.2">
      <c r="A144" s="311" t="s">
        <v>2173</v>
      </c>
      <c r="B144" t="str">
        <f>IF(ISBLANK(GlobBerMedDisc!$D$19),"",GlobBerMedDisc!$D$19)</f>
        <v/>
      </c>
      <c r="C144" s="130"/>
    </row>
    <row r="145" spans="1:3" x14ac:dyDescent="0.2">
      <c r="A145" s="311" t="s">
        <v>2174</v>
      </c>
      <c r="B145" t="str">
        <f>IF(ISBLANK(GlobBerMedDisc!$D$20),"",GlobBerMedDisc!$D$20)</f>
        <v/>
      </c>
      <c r="C145" s="130"/>
    </row>
    <row r="146" spans="1:3" x14ac:dyDescent="0.2">
      <c r="A146" s="311" t="s">
        <v>2175</v>
      </c>
      <c r="B146" t="str">
        <f>IF(ISBLANK(GlobBerMedDisc!$D$21),"",GlobBerMedDisc!$D$21)</f>
        <v/>
      </c>
      <c r="C146" s="130"/>
    </row>
    <row r="147" spans="1:3" x14ac:dyDescent="0.2">
      <c r="A147" s="311" t="s">
        <v>2176</v>
      </c>
      <c r="B147" t="str">
        <f>IF(ISBLANK(GlobBerMedDisc!$D$22),"",GlobBerMedDisc!$D$22)</f>
        <v/>
      </c>
      <c r="C147" s="130"/>
    </row>
    <row r="148" spans="1:3" x14ac:dyDescent="0.2">
      <c r="A148" s="311" t="s">
        <v>2177</v>
      </c>
      <c r="B148" t="str">
        <f>IF(ISBLANK(GlobBerMedDisc!$D$23),"",GlobBerMedDisc!$D$23)</f>
        <v/>
      </c>
      <c r="C148" s="130"/>
    </row>
    <row r="149" spans="1:3" x14ac:dyDescent="0.2">
      <c r="A149" s="311" t="s">
        <v>2178</v>
      </c>
      <c r="B149" t="str">
        <f>IF(ISBLANK(GlobBerMedDisc!$D$24),"",GlobBerMedDisc!$D$24)</f>
        <v/>
      </c>
      <c r="C149" s="130"/>
    </row>
    <row r="150" spans="1:3" x14ac:dyDescent="0.2">
      <c r="A150" s="311" t="s">
        <v>2179</v>
      </c>
      <c r="B150" t="str">
        <f>IF(ISBLANK(GlobBerMedDisc!$D$25),"",GlobBerMedDisc!$D$25)</f>
        <v/>
      </c>
      <c r="C150" s="130"/>
    </row>
    <row r="151" spans="1:3" x14ac:dyDescent="0.2">
      <c r="A151" s="311" t="s">
        <v>2180</v>
      </c>
      <c r="B151" t="str">
        <f>IF(ISBLANK(GlobBerMedDisc!$D$26),"",GlobBerMedDisc!$D$26)</f>
        <v/>
      </c>
      <c r="C151" s="130"/>
    </row>
    <row r="152" spans="1:3" x14ac:dyDescent="0.2">
      <c r="A152" s="311" t="s">
        <v>2181</v>
      </c>
      <c r="B152" t="str">
        <f>IF(ISBLANK(GlobBerMedDisc!$D$27),"",GlobBerMedDisc!$D$27)</f>
        <v/>
      </c>
      <c r="C152" s="130"/>
    </row>
    <row r="153" spans="1:3" x14ac:dyDescent="0.2">
      <c r="A153" s="311" t="s">
        <v>2182</v>
      </c>
      <c r="B153" t="str">
        <f>IF(ISBLANK(GlobBerMedDisc!$D$28),"",GlobBerMedDisc!$D$28)</f>
        <v/>
      </c>
      <c r="C153" s="130"/>
    </row>
    <row r="154" spans="1:3" x14ac:dyDescent="0.2">
      <c r="A154" s="311" t="s">
        <v>2183</v>
      </c>
      <c r="B154" t="str">
        <f>IF(ISBLANK(GlobBerMedDisc!$D$29),"",GlobBerMedDisc!$D$29)</f>
        <v/>
      </c>
      <c r="C154" s="130"/>
    </row>
    <row r="155" spans="1:3" x14ac:dyDescent="0.2">
      <c r="A155" s="311" t="s">
        <v>2184</v>
      </c>
      <c r="B155" t="str">
        <f>IF(ISBLANK(GlobBerMedDisc!$D$30),"",GlobBerMedDisc!$D$30)</f>
        <v/>
      </c>
      <c r="C155" s="130"/>
    </row>
    <row r="156" spans="1:3" x14ac:dyDescent="0.2">
      <c r="A156" s="311" t="s">
        <v>2185</v>
      </c>
      <c r="B156" t="str">
        <f>IF(ISBLANK(GlobBerMedDisc!$D$31),"",GlobBerMedDisc!$D$31)</f>
        <v/>
      </c>
      <c r="C156" s="130"/>
    </row>
    <row r="157" spans="1:3" x14ac:dyDescent="0.2">
      <c r="A157" s="311" t="s">
        <v>2186</v>
      </c>
      <c r="B157" t="str">
        <f>IF(ISBLANK(GlobBerMedDisc!$U$2),"",GlobBerMedDisc!$U$2)</f>
        <v/>
      </c>
      <c r="C157" s="130"/>
    </row>
    <row r="158" spans="1:3" x14ac:dyDescent="0.2">
      <c r="A158" s="311" t="s">
        <v>2187</v>
      </c>
      <c r="B158" t="str">
        <f>IF(ISBLANK(GlobBerMedDisc!$U$3),"",GlobBerMedDisc!$U$3)</f>
        <v/>
      </c>
      <c r="C158" s="130"/>
    </row>
    <row r="159" spans="1:3" x14ac:dyDescent="0.2">
      <c r="A159" s="311" t="s">
        <v>2188</v>
      </c>
      <c r="B159" t="str">
        <f>IF(ISBLANK(GlobBerMedDisc!$U$4),"",GlobBerMedDisc!$U$4)</f>
        <v/>
      </c>
      <c r="C159" s="130"/>
    </row>
    <row r="160" spans="1:3" x14ac:dyDescent="0.2">
      <c r="A160" s="311" t="s">
        <v>2189</v>
      </c>
      <c r="B160" t="str">
        <f>IF(ISBLANK(GlobBerMedDisc!$U$5),"",GlobBerMedDisc!$U$5)</f>
        <v/>
      </c>
      <c r="C160" s="130"/>
    </row>
    <row r="161" spans="1:3" x14ac:dyDescent="0.2">
      <c r="A161" s="311" t="s">
        <v>2190</v>
      </c>
      <c r="B161" t="str">
        <f>IF(ISBLANK(GlobBerMedDisc!$U$6),"",GlobBerMedDisc!$U$6)</f>
        <v/>
      </c>
      <c r="C161" s="130"/>
    </row>
    <row r="162" spans="1:3" x14ac:dyDescent="0.2">
      <c r="A162" s="311" t="s">
        <v>2191</v>
      </c>
      <c r="B162" t="str">
        <f>IF(ISBLANK(GlobBerMedDisc!$U$7),"",GlobBerMedDisc!$U$7)</f>
        <v/>
      </c>
      <c r="C162" s="130"/>
    </row>
    <row r="163" spans="1:3" x14ac:dyDescent="0.2">
      <c r="A163" s="311" t="s">
        <v>2192</v>
      </c>
      <c r="B163" t="str">
        <f>IF(ISBLANK(GlobBerMedDisc!$U$8),"",GlobBerMedDisc!$U$8)</f>
        <v/>
      </c>
      <c r="C163" s="130"/>
    </row>
    <row r="164" spans="1:3" x14ac:dyDescent="0.2">
      <c r="A164" s="311" t="s">
        <v>2193</v>
      </c>
      <c r="B164" t="str">
        <f>IF(ISBLANK(GlobBerMedDisc!$U$9),"",GlobBerMedDisc!$U$9)</f>
        <v/>
      </c>
      <c r="C164" s="130"/>
    </row>
    <row r="165" spans="1:3" x14ac:dyDescent="0.2">
      <c r="A165" s="311" t="s">
        <v>2194</v>
      </c>
      <c r="B165" t="str">
        <f>IF(ISBLANK(GlobBerMedDisc!$U$10),"",GlobBerMedDisc!$U$10)</f>
        <v/>
      </c>
      <c r="C165" s="130"/>
    </row>
    <row r="166" spans="1:3" x14ac:dyDescent="0.2">
      <c r="A166" s="311" t="s">
        <v>2195</v>
      </c>
      <c r="B166" t="str">
        <f>IF(ISBLANK(GlobBerMedDisc!$U$11),"",GlobBerMedDisc!$U$11)</f>
        <v/>
      </c>
      <c r="C166" s="130"/>
    </row>
    <row r="167" spans="1:3" x14ac:dyDescent="0.2">
      <c r="A167" s="311" t="s">
        <v>2196</v>
      </c>
      <c r="B167" t="str">
        <f>IF(ISBLANK(GlobBerMedDisc!$U$12),"",GlobBerMedDisc!$U$12)</f>
        <v/>
      </c>
      <c r="C167" s="130"/>
    </row>
    <row r="168" spans="1:3" x14ac:dyDescent="0.2">
      <c r="A168" s="311" t="s">
        <v>2197</v>
      </c>
      <c r="B168" t="str">
        <f>IF(ISBLANK(GlobBerMedDisc!$U$13),"",GlobBerMedDisc!$U$13)</f>
        <v/>
      </c>
      <c r="C168" s="130"/>
    </row>
    <row r="169" spans="1:3" x14ac:dyDescent="0.2">
      <c r="A169" s="311" t="s">
        <v>2198</v>
      </c>
      <c r="B169" t="str">
        <f>IF(ISBLANK(GlobBerMedDisc!$U$14),"",GlobBerMedDisc!$U$14)</f>
        <v/>
      </c>
      <c r="C169" s="130"/>
    </row>
    <row r="170" spans="1:3" x14ac:dyDescent="0.2">
      <c r="A170" s="311" t="s">
        <v>2199</v>
      </c>
      <c r="B170" t="str">
        <f>IF(ISBLANK(GlobBerMedDisc!$U$15),"",GlobBerMedDisc!$U$15)</f>
        <v/>
      </c>
      <c r="C170" s="130"/>
    </row>
    <row r="171" spans="1:3" x14ac:dyDescent="0.2">
      <c r="A171" s="311" t="s">
        <v>2200</v>
      </c>
      <c r="B171" t="str">
        <f>IF(ISBLANK(GlobBerMedDisc!$U$16),"",GlobBerMedDisc!$U$16)</f>
        <v/>
      </c>
      <c r="C171" s="130"/>
    </row>
    <row r="172" spans="1:3" x14ac:dyDescent="0.2">
      <c r="A172" s="311" t="s">
        <v>2201</v>
      </c>
      <c r="B172" t="str">
        <f>IF(ISBLANK(GlobBerMedDisc!$U$17),"",GlobBerMedDisc!$U$17)</f>
        <v/>
      </c>
      <c r="C172" s="130"/>
    </row>
    <row r="173" spans="1:3" x14ac:dyDescent="0.2">
      <c r="A173" s="311" t="s">
        <v>2202</v>
      </c>
      <c r="B173" t="str">
        <f>IF(ISBLANK(GlobBerMedDisc!$U$18),"",GlobBerMedDisc!$U$18)</f>
        <v/>
      </c>
      <c r="C173" s="130"/>
    </row>
    <row r="174" spans="1:3" x14ac:dyDescent="0.2">
      <c r="A174" s="311" t="s">
        <v>2203</v>
      </c>
      <c r="B174" t="str">
        <f>IF(ISBLANK(GlobBerMedDisc!$U$19),"",GlobBerMedDisc!$U$19)</f>
        <v/>
      </c>
      <c r="C174" s="130"/>
    </row>
    <row r="175" spans="1:3" x14ac:dyDescent="0.2">
      <c r="A175" s="311" t="s">
        <v>2204</v>
      </c>
      <c r="B175" t="str">
        <f>IF(ISBLANK(GlobBerMedDisc!$U$20),"",GlobBerMedDisc!$U$20)</f>
        <v/>
      </c>
      <c r="C175" s="130"/>
    </row>
    <row r="176" spans="1:3" x14ac:dyDescent="0.2">
      <c r="A176" s="311" t="s">
        <v>2205</v>
      </c>
      <c r="B176" t="str">
        <f>IF(ISBLANK(GlobBerMedDisc!$U$21),"",GlobBerMedDisc!$U$21)</f>
        <v/>
      </c>
      <c r="C176" s="130"/>
    </row>
    <row r="177" spans="1:3" x14ac:dyDescent="0.2">
      <c r="A177" s="311" t="s">
        <v>2206</v>
      </c>
      <c r="B177" t="str">
        <f>IF(ISBLANK(GlobBerMedDisc!$U$22),"",GlobBerMedDisc!$U$22)</f>
        <v/>
      </c>
      <c r="C177" s="130"/>
    </row>
    <row r="178" spans="1:3" x14ac:dyDescent="0.2">
      <c r="A178" s="311" t="s">
        <v>2207</v>
      </c>
      <c r="B178" t="str">
        <f>IF(ISBLANK(GlobBerMedDisc!$U$23),"",GlobBerMedDisc!$U$23)</f>
        <v/>
      </c>
      <c r="C178" s="130"/>
    </row>
    <row r="179" spans="1:3" x14ac:dyDescent="0.2">
      <c r="A179" s="311" t="s">
        <v>2208</v>
      </c>
      <c r="B179" t="str">
        <f>IF(ISBLANK(GlobBerMedDisc!$U$24),"",GlobBerMedDisc!$U$24)</f>
        <v/>
      </c>
      <c r="C179" s="130"/>
    </row>
    <row r="180" spans="1:3" x14ac:dyDescent="0.2">
      <c r="A180" s="311" t="s">
        <v>2209</v>
      </c>
      <c r="B180" t="str">
        <f>IF(ISBLANK(GlobBerMedDisc!$U$25),"",GlobBerMedDisc!$U$25)</f>
        <v/>
      </c>
      <c r="C180" s="130"/>
    </row>
    <row r="181" spans="1:3" x14ac:dyDescent="0.2">
      <c r="A181" s="311" t="s">
        <v>2210</v>
      </c>
      <c r="B181" t="str">
        <f>IF(ISBLANK(GlobBerMedDisc!$U$26),"",GlobBerMedDisc!$U$26)</f>
        <v/>
      </c>
      <c r="C181" s="130"/>
    </row>
    <row r="182" spans="1:3" x14ac:dyDescent="0.2">
      <c r="A182" s="311" t="s">
        <v>2211</v>
      </c>
      <c r="B182" t="str">
        <f>IF(ISBLANK(GlobBerMedDisc!$U$27),"",GlobBerMedDisc!$U$27)</f>
        <v/>
      </c>
      <c r="C182" s="130"/>
    </row>
    <row r="183" spans="1:3" x14ac:dyDescent="0.2">
      <c r="A183" s="311" t="s">
        <v>2212</v>
      </c>
      <c r="B183" t="str">
        <f>IF(ISBLANK(GlobBerMedDisc!$U$28),"",GlobBerMedDisc!$U$28)</f>
        <v/>
      </c>
      <c r="C183" s="130"/>
    </row>
    <row r="184" spans="1:3" x14ac:dyDescent="0.2">
      <c r="A184" s="311" t="s">
        <v>2213</v>
      </c>
      <c r="B184" t="str">
        <f>IF(ISBLANK(GlobBerMedDisc!$U$29),"",GlobBerMedDisc!$U$29)</f>
        <v/>
      </c>
      <c r="C184" s="130"/>
    </row>
    <row r="185" spans="1:3" x14ac:dyDescent="0.2">
      <c r="A185" s="311" t="s">
        <v>2214</v>
      </c>
      <c r="B185" t="str">
        <f>IF(ISBLANK(GlobBerMedDisc!$U$30),"",GlobBerMedDisc!$U$30)</f>
        <v/>
      </c>
      <c r="C185" s="130"/>
    </row>
    <row r="186" spans="1:3" x14ac:dyDescent="0.2">
      <c r="A186" s="311" t="s">
        <v>2215</v>
      </c>
      <c r="B186" t="str">
        <f>IF(ISBLANK(GlobBerMedDisc!$U$31),"",GlobBerMedDisc!$U$31)</f>
        <v/>
      </c>
      <c r="C186" s="130"/>
    </row>
    <row r="187" spans="1:3" x14ac:dyDescent="0.2">
      <c r="A187" s="311" t="s">
        <v>2216</v>
      </c>
      <c r="B187" t="str">
        <f>IF(ISBLANK(GlobBerMedDisc!$B$2),"",GlobBerMedDisc!$B$2)</f>
        <v/>
      </c>
      <c r="C187" s="130"/>
    </row>
    <row r="188" spans="1:3" x14ac:dyDescent="0.2">
      <c r="A188" s="311" t="s">
        <v>2217</v>
      </c>
      <c r="B188" t="str">
        <f>IF(ISBLANK(GlobBerMedDisc!$B$3),"",GlobBerMedDisc!$B$3)</f>
        <v/>
      </c>
      <c r="C188" s="130"/>
    </row>
    <row r="189" spans="1:3" x14ac:dyDescent="0.2">
      <c r="A189" s="311" t="s">
        <v>2218</v>
      </c>
      <c r="B189" t="str">
        <f>IF(ISBLANK(GlobBerMedDisc!$B$4),"",GlobBerMedDisc!$B$4)</f>
        <v/>
      </c>
      <c r="C189" s="130"/>
    </row>
    <row r="190" spans="1:3" x14ac:dyDescent="0.2">
      <c r="A190" s="311" t="s">
        <v>2219</v>
      </c>
      <c r="B190" t="str">
        <f>IF(ISBLANK(GlobBerMedDisc!$B$5),"",GlobBerMedDisc!$B$5)</f>
        <v/>
      </c>
      <c r="C190" s="130"/>
    </row>
    <row r="191" spans="1:3" x14ac:dyDescent="0.2">
      <c r="A191" s="311" t="s">
        <v>2220</v>
      </c>
      <c r="B191" t="str">
        <f>IF(ISBLANK(GlobBerMedDisc!$B$6),"",GlobBerMedDisc!$B$6)</f>
        <v/>
      </c>
      <c r="C191" s="130"/>
    </row>
    <row r="192" spans="1:3" x14ac:dyDescent="0.2">
      <c r="A192" s="311" t="s">
        <v>2221</v>
      </c>
      <c r="B192" t="str">
        <f>IF(ISBLANK(GlobBerMedDisc!$B$7),"",GlobBerMedDisc!$B$7)</f>
        <v/>
      </c>
      <c r="C192" s="130"/>
    </row>
    <row r="193" spans="1:3" x14ac:dyDescent="0.2">
      <c r="A193" s="311" t="s">
        <v>2222</v>
      </c>
      <c r="B193" t="str">
        <f>IF(ISBLANK(GlobBerMedDisc!$B$8),"",GlobBerMedDisc!$B$8)</f>
        <v/>
      </c>
      <c r="C193" s="130"/>
    </row>
    <row r="194" spans="1:3" x14ac:dyDescent="0.2">
      <c r="A194" s="311" t="s">
        <v>2223</v>
      </c>
      <c r="B194" t="str">
        <f>IF(ISBLANK(GlobBerMedDisc!$B$9),"",GlobBerMedDisc!$B$9)</f>
        <v/>
      </c>
      <c r="C194" s="130"/>
    </row>
    <row r="195" spans="1:3" x14ac:dyDescent="0.2">
      <c r="A195" s="311" t="s">
        <v>2224</v>
      </c>
      <c r="B195" t="str">
        <f>IF(ISBLANK(GlobBerMedDisc!$B$10),"",GlobBerMedDisc!$B$10)</f>
        <v/>
      </c>
      <c r="C195" s="130"/>
    </row>
    <row r="196" spans="1:3" x14ac:dyDescent="0.2">
      <c r="A196" s="311" t="s">
        <v>2225</v>
      </c>
      <c r="B196" t="str">
        <f>IF(ISBLANK(GlobBerMedDisc!$B$11),"",GlobBerMedDisc!$B$11)</f>
        <v/>
      </c>
      <c r="C196" s="130"/>
    </row>
    <row r="197" spans="1:3" x14ac:dyDescent="0.2">
      <c r="A197" s="311" t="s">
        <v>2226</v>
      </c>
      <c r="B197" t="str">
        <f>IF(ISBLANK(GlobBerMedDisc!$B$12),"",GlobBerMedDisc!$B$12)</f>
        <v/>
      </c>
      <c r="C197" s="130"/>
    </row>
    <row r="198" spans="1:3" x14ac:dyDescent="0.2">
      <c r="A198" s="311" t="s">
        <v>2227</v>
      </c>
      <c r="B198" t="str">
        <f>IF(ISBLANK(GlobBerMedDisc!$B$13),"",GlobBerMedDisc!$B$13)</f>
        <v/>
      </c>
      <c r="C198" s="130"/>
    </row>
    <row r="199" spans="1:3" x14ac:dyDescent="0.2">
      <c r="A199" s="311" t="s">
        <v>2228</v>
      </c>
      <c r="B199" t="str">
        <f>IF(ISBLANK(GlobBerMedDisc!$B$14),"",GlobBerMedDisc!$B$14)</f>
        <v/>
      </c>
      <c r="C199" s="130"/>
    </row>
    <row r="200" spans="1:3" x14ac:dyDescent="0.2">
      <c r="A200" s="311" t="s">
        <v>2229</v>
      </c>
      <c r="B200" t="str">
        <f>IF(ISBLANK(GlobBerMedDisc!$B$15),"",GlobBerMedDisc!$B$15)</f>
        <v/>
      </c>
      <c r="C200" s="130"/>
    </row>
    <row r="201" spans="1:3" x14ac:dyDescent="0.2">
      <c r="A201" s="311" t="s">
        <v>2230</v>
      </c>
      <c r="B201" t="str">
        <f>IF(ISBLANK(GlobBerMedDisc!$B$16),"",GlobBerMedDisc!$B$16)</f>
        <v/>
      </c>
      <c r="C201" s="130"/>
    </row>
    <row r="202" spans="1:3" x14ac:dyDescent="0.2">
      <c r="A202" s="311" t="s">
        <v>2231</v>
      </c>
      <c r="B202" t="str">
        <f>IF(ISBLANK(GlobBerMedDisc!$B$17),"",GlobBerMedDisc!$B$17)</f>
        <v/>
      </c>
      <c r="C202" s="130"/>
    </row>
    <row r="203" spans="1:3" x14ac:dyDescent="0.2">
      <c r="A203" s="311" t="s">
        <v>2232</v>
      </c>
      <c r="B203" t="str">
        <f>IF(ISBLANK(GlobBerMedDisc!$B$18),"",GlobBerMedDisc!$B$18)</f>
        <v/>
      </c>
      <c r="C203" s="130"/>
    </row>
    <row r="204" spans="1:3" x14ac:dyDescent="0.2">
      <c r="A204" s="311" t="s">
        <v>2233</v>
      </c>
      <c r="B204" t="str">
        <f>IF(ISBLANK(GlobBerMedDisc!$B$19),"",GlobBerMedDisc!$B$19)</f>
        <v/>
      </c>
      <c r="C204" s="130"/>
    </row>
    <row r="205" spans="1:3" x14ac:dyDescent="0.2">
      <c r="A205" s="311" t="s">
        <v>2234</v>
      </c>
      <c r="B205" t="str">
        <f>IF(ISBLANK(GlobBerMedDisc!$B$20),"",GlobBerMedDisc!$B$20)</f>
        <v/>
      </c>
      <c r="C205" s="130"/>
    </row>
    <row r="206" spans="1:3" x14ac:dyDescent="0.2">
      <c r="A206" s="311" t="s">
        <v>2235</v>
      </c>
      <c r="B206" t="str">
        <f>IF(ISBLANK(GlobBerMedDisc!$B$21),"",GlobBerMedDisc!$B$21)</f>
        <v/>
      </c>
      <c r="C206" s="130"/>
    </row>
    <row r="207" spans="1:3" x14ac:dyDescent="0.2">
      <c r="A207" s="311" t="s">
        <v>2236</v>
      </c>
      <c r="B207" t="str">
        <f>IF(ISBLANK(GlobBerMedDisc!$B$22),"",GlobBerMedDisc!$B$22)</f>
        <v/>
      </c>
      <c r="C207" s="130"/>
    </row>
    <row r="208" spans="1:3" x14ac:dyDescent="0.2">
      <c r="A208" s="311" t="s">
        <v>2237</v>
      </c>
      <c r="B208" t="str">
        <f>IF(ISBLANK(GlobBerMedDisc!$B$23),"",GlobBerMedDisc!$B$23)</f>
        <v/>
      </c>
      <c r="C208" s="130"/>
    </row>
    <row r="209" spans="1:3" x14ac:dyDescent="0.2">
      <c r="A209" s="311" t="s">
        <v>2238</v>
      </c>
      <c r="B209" t="str">
        <f>IF(ISBLANK(GlobBerMedDisc!$B$24),"",GlobBerMedDisc!$B$24)</f>
        <v/>
      </c>
      <c r="C209" s="130"/>
    </row>
    <row r="210" spans="1:3" x14ac:dyDescent="0.2">
      <c r="A210" s="311" t="s">
        <v>2239</v>
      </c>
      <c r="B210" t="str">
        <f>IF(ISBLANK(GlobBerMedDisc!$B$25),"",GlobBerMedDisc!$B$25)</f>
        <v/>
      </c>
      <c r="C210" s="130"/>
    </row>
    <row r="211" spans="1:3" x14ac:dyDescent="0.2">
      <c r="A211" s="311" t="s">
        <v>2240</v>
      </c>
      <c r="B211" t="str">
        <f>IF(ISBLANK(GlobBerMedDisc!$B$26),"",GlobBerMedDisc!$B$26)</f>
        <v/>
      </c>
      <c r="C211" s="130"/>
    </row>
    <row r="212" spans="1:3" x14ac:dyDescent="0.2">
      <c r="A212" s="311" t="s">
        <v>2241</v>
      </c>
      <c r="B212" t="str">
        <f>IF(ISBLANK(GlobBerMedDisc!$B$27),"",GlobBerMedDisc!$B$27)</f>
        <v/>
      </c>
      <c r="C212" s="130"/>
    </row>
    <row r="213" spans="1:3" x14ac:dyDescent="0.2">
      <c r="A213" s="311" t="s">
        <v>2242</v>
      </c>
      <c r="B213" t="str">
        <f>IF(ISBLANK(GlobBerMedDisc!$B$28),"",GlobBerMedDisc!$B$28)</f>
        <v/>
      </c>
      <c r="C213" s="130"/>
    </row>
    <row r="214" spans="1:3" x14ac:dyDescent="0.2">
      <c r="A214" s="311" t="s">
        <v>2243</v>
      </c>
      <c r="B214" t="str">
        <f>IF(ISBLANK(GlobBerMedDisc!$B$29),"",GlobBerMedDisc!$B$29)</f>
        <v/>
      </c>
      <c r="C214" s="130"/>
    </row>
    <row r="215" spans="1:3" x14ac:dyDescent="0.2">
      <c r="A215" s="311" t="s">
        <v>2244</v>
      </c>
      <c r="B215" t="str">
        <f>IF(ISBLANK(GlobBerMedDisc!$B$30),"",GlobBerMedDisc!$B$30)</f>
        <v/>
      </c>
      <c r="C215" s="130"/>
    </row>
    <row r="216" spans="1:3" x14ac:dyDescent="0.2">
      <c r="A216" s="311" t="s">
        <v>2245</v>
      </c>
      <c r="B216" t="str">
        <f>IF(ISBLANK(GlobBerMedDisc!$B$31),"",GlobBerMedDisc!$B$31)</f>
        <v/>
      </c>
      <c r="C216" s="130"/>
    </row>
    <row r="217" spans="1:3" x14ac:dyDescent="0.2">
      <c r="A217" s="311" t="s">
        <v>2246</v>
      </c>
      <c r="B217">
        <f>IF(ISBLANK(GlobBerMedDisc!$Q$2),"",GlobBerMedDisc!$Q$2)</f>
        <v>0</v>
      </c>
      <c r="C217" s="313">
        <v>0</v>
      </c>
    </row>
    <row r="218" spans="1:3" x14ac:dyDescent="0.2">
      <c r="A218" s="311" t="s">
        <v>2247</v>
      </c>
      <c r="B218">
        <f>IF(ISBLANK(GlobBerMedDisc!$Q$3),"",GlobBerMedDisc!$Q$3)</f>
        <v>0</v>
      </c>
      <c r="C218" s="313">
        <v>0</v>
      </c>
    </row>
    <row r="219" spans="1:3" x14ac:dyDescent="0.2">
      <c r="A219" s="311" t="s">
        <v>2248</v>
      </c>
      <c r="B219">
        <f>IF(ISBLANK(GlobBerMedDisc!$Q$4),"",GlobBerMedDisc!$Q$4)</f>
        <v>0</v>
      </c>
      <c r="C219" s="313">
        <v>0</v>
      </c>
    </row>
    <row r="220" spans="1:3" x14ac:dyDescent="0.2">
      <c r="A220" s="311" t="s">
        <v>2249</v>
      </c>
      <c r="B220">
        <f>IF(ISBLANK(GlobBerMedDisc!$Q$5),"",GlobBerMedDisc!$Q$5)</f>
        <v>0</v>
      </c>
      <c r="C220" s="313">
        <v>0</v>
      </c>
    </row>
    <row r="221" spans="1:3" x14ac:dyDescent="0.2">
      <c r="A221" s="311" t="s">
        <v>2250</v>
      </c>
      <c r="B221">
        <f>IF(ISBLANK(GlobBerMedDisc!$Q$6),"",GlobBerMedDisc!$Q$6)</f>
        <v>0</v>
      </c>
      <c r="C221" s="313">
        <v>0</v>
      </c>
    </row>
    <row r="222" spans="1:3" x14ac:dyDescent="0.2">
      <c r="A222" s="311" t="s">
        <v>2251</v>
      </c>
      <c r="B222">
        <f>IF(ISBLANK(GlobBerMedDisc!$Q$7),"",GlobBerMedDisc!$Q$7)</f>
        <v>0</v>
      </c>
      <c r="C222" s="313">
        <v>0</v>
      </c>
    </row>
    <row r="223" spans="1:3" x14ac:dyDescent="0.2">
      <c r="A223" s="311" t="s">
        <v>2252</v>
      </c>
      <c r="B223">
        <f>IF(ISBLANK(GlobBerMedDisc!$Q$8),"",GlobBerMedDisc!$Q$8)</f>
        <v>0</v>
      </c>
      <c r="C223" s="313">
        <v>0</v>
      </c>
    </row>
    <row r="224" spans="1:3" x14ac:dyDescent="0.2">
      <c r="A224" s="311" t="s">
        <v>2253</v>
      </c>
      <c r="B224">
        <f>IF(ISBLANK(GlobBerMedDisc!$Q$9),"",GlobBerMedDisc!$Q$9)</f>
        <v>0</v>
      </c>
      <c r="C224" s="313">
        <v>0</v>
      </c>
    </row>
    <row r="225" spans="1:3" x14ac:dyDescent="0.2">
      <c r="A225" s="311" t="s">
        <v>2254</v>
      </c>
      <c r="B225">
        <f>IF(ISBLANK(GlobBerMedDisc!$Q$10),"",GlobBerMedDisc!$Q$10)</f>
        <v>0</v>
      </c>
      <c r="C225" s="313">
        <v>0</v>
      </c>
    </row>
    <row r="226" spans="1:3" x14ac:dyDescent="0.2">
      <c r="A226" s="311" t="s">
        <v>2255</v>
      </c>
      <c r="B226">
        <f>IF(ISBLANK(GlobBerMedDisc!$Q$11),"",GlobBerMedDisc!$Q$11)</f>
        <v>0</v>
      </c>
      <c r="C226" s="313">
        <v>0</v>
      </c>
    </row>
    <row r="227" spans="1:3" x14ac:dyDescent="0.2">
      <c r="A227" s="311" t="s">
        <v>2256</v>
      </c>
      <c r="B227">
        <f>IF(ISBLANK(GlobBerMedDisc!$Q$12),"",GlobBerMedDisc!$Q$12)</f>
        <v>0</v>
      </c>
      <c r="C227" s="313">
        <v>0</v>
      </c>
    </row>
    <row r="228" spans="1:3" x14ac:dyDescent="0.2">
      <c r="A228" s="311" t="s">
        <v>2257</v>
      </c>
      <c r="B228">
        <f>IF(ISBLANK(GlobBerMedDisc!$Q$13),"",GlobBerMedDisc!$Q$13)</f>
        <v>0</v>
      </c>
      <c r="C228" s="313">
        <v>0</v>
      </c>
    </row>
    <row r="229" spans="1:3" x14ac:dyDescent="0.2">
      <c r="A229" s="311" t="s">
        <v>2258</v>
      </c>
      <c r="B229">
        <f>IF(ISBLANK(GlobBerMedDisc!$Q$14),"",GlobBerMedDisc!$Q$14)</f>
        <v>0</v>
      </c>
      <c r="C229" s="313">
        <v>0</v>
      </c>
    </row>
    <row r="230" spans="1:3" x14ac:dyDescent="0.2">
      <c r="A230" s="311" t="s">
        <v>2259</v>
      </c>
      <c r="B230">
        <f>IF(ISBLANK(GlobBerMedDisc!$Q$15),"",GlobBerMedDisc!$Q$15)</f>
        <v>0</v>
      </c>
      <c r="C230" s="313">
        <v>0</v>
      </c>
    </row>
    <row r="231" spans="1:3" x14ac:dyDescent="0.2">
      <c r="A231" s="311" t="s">
        <v>2260</v>
      </c>
      <c r="B231">
        <f>IF(ISBLANK(GlobBerMedDisc!$Q$16),"",GlobBerMedDisc!$Q$16)</f>
        <v>0</v>
      </c>
      <c r="C231" s="313">
        <v>0</v>
      </c>
    </row>
    <row r="232" spans="1:3" x14ac:dyDescent="0.2">
      <c r="A232" s="311" t="s">
        <v>2261</v>
      </c>
      <c r="B232">
        <f>IF(ISBLANK(GlobBerMedDisc!$Q$17),"",GlobBerMedDisc!$Q$17)</f>
        <v>0</v>
      </c>
      <c r="C232" s="313">
        <v>0</v>
      </c>
    </row>
    <row r="233" spans="1:3" x14ac:dyDescent="0.2">
      <c r="A233" s="311" t="s">
        <v>2262</v>
      </c>
      <c r="B233">
        <f>IF(ISBLANK(GlobBerMedDisc!$Q$18),"",GlobBerMedDisc!$Q$18)</f>
        <v>0</v>
      </c>
      <c r="C233" s="313">
        <v>0</v>
      </c>
    </row>
    <row r="234" spans="1:3" x14ac:dyDescent="0.2">
      <c r="A234" s="311" t="s">
        <v>2263</v>
      </c>
      <c r="B234">
        <f>IF(ISBLANK(GlobBerMedDisc!$Q$19),"",GlobBerMedDisc!$Q$19)</f>
        <v>0</v>
      </c>
      <c r="C234" s="313">
        <v>0</v>
      </c>
    </row>
    <row r="235" spans="1:3" x14ac:dyDescent="0.2">
      <c r="A235" s="311" t="s">
        <v>2264</v>
      </c>
      <c r="B235">
        <f>IF(ISBLANK(GlobBerMedDisc!$Q$20),"",GlobBerMedDisc!$Q$20)</f>
        <v>0</v>
      </c>
      <c r="C235" s="313">
        <v>0</v>
      </c>
    </row>
    <row r="236" spans="1:3" x14ac:dyDescent="0.2">
      <c r="A236" s="311" t="s">
        <v>2265</v>
      </c>
      <c r="B236">
        <f>IF(ISBLANK(GlobBerMedDisc!$Q$21),"",GlobBerMedDisc!$Q$21)</f>
        <v>0</v>
      </c>
      <c r="C236" s="313">
        <v>0</v>
      </c>
    </row>
    <row r="237" spans="1:3" x14ac:dyDescent="0.2">
      <c r="A237" s="311" t="s">
        <v>2266</v>
      </c>
      <c r="B237">
        <f>IF(ISBLANK(GlobBerMedDisc!$Q$22),"",GlobBerMedDisc!$Q$22)</f>
        <v>0</v>
      </c>
      <c r="C237" s="313">
        <v>0</v>
      </c>
    </row>
    <row r="238" spans="1:3" x14ac:dyDescent="0.2">
      <c r="A238" s="311" t="s">
        <v>2267</v>
      </c>
      <c r="B238">
        <f>IF(ISBLANK(GlobBerMedDisc!$Q$23),"",GlobBerMedDisc!$Q$23)</f>
        <v>0</v>
      </c>
      <c r="C238" s="313">
        <v>0</v>
      </c>
    </row>
    <row r="239" spans="1:3" x14ac:dyDescent="0.2">
      <c r="A239" s="311" t="s">
        <v>2268</v>
      </c>
      <c r="B239">
        <f>IF(ISBLANK(GlobBerMedDisc!$Q$24),"",GlobBerMedDisc!$Q$24)</f>
        <v>0</v>
      </c>
      <c r="C239" s="313">
        <v>0</v>
      </c>
    </row>
    <row r="240" spans="1:3" x14ac:dyDescent="0.2">
      <c r="A240" s="311" t="s">
        <v>2269</v>
      </c>
      <c r="B240">
        <f>IF(ISBLANK(GlobBerMedDisc!$Q$25),"",GlobBerMedDisc!$Q$25)</f>
        <v>0</v>
      </c>
      <c r="C240" s="313">
        <v>0</v>
      </c>
    </row>
    <row r="241" spans="1:3" x14ac:dyDescent="0.2">
      <c r="A241" s="311" t="s">
        <v>2270</v>
      </c>
      <c r="B241">
        <f>IF(ISBLANK(GlobBerMedDisc!$Q$26),"",GlobBerMedDisc!$Q$26)</f>
        <v>0</v>
      </c>
      <c r="C241" s="313">
        <v>0</v>
      </c>
    </row>
    <row r="242" spans="1:3" x14ac:dyDescent="0.2">
      <c r="A242" s="311" t="s">
        <v>2271</v>
      </c>
      <c r="B242">
        <f>IF(ISBLANK(GlobBerMedDisc!$Q$27),"",GlobBerMedDisc!$Q$27)</f>
        <v>0</v>
      </c>
      <c r="C242" s="313">
        <v>0</v>
      </c>
    </row>
    <row r="243" spans="1:3" x14ac:dyDescent="0.2">
      <c r="A243" s="311" t="s">
        <v>2272</v>
      </c>
      <c r="B243">
        <f>IF(ISBLANK(GlobBerMedDisc!$Q$28),"",GlobBerMedDisc!$Q$28)</f>
        <v>0</v>
      </c>
      <c r="C243" s="313">
        <v>0</v>
      </c>
    </row>
    <row r="244" spans="1:3" x14ac:dyDescent="0.2">
      <c r="A244" s="311" t="s">
        <v>2273</v>
      </c>
      <c r="B244">
        <f>IF(ISBLANK(GlobBerMedDisc!$Q$29),"",GlobBerMedDisc!$Q$29)</f>
        <v>0</v>
      </c>
      <c r="C244" s="313">
        <v>0</v>
      </c>
    </row>
    <row r="245" spans="1:3" x14ac:dyDescent="0.2">
      <c r="A245" s="311" t="s">
        <v>2274</v>
      </c>
      <c r="B245">
        <f>IF(ISBLANK(GlobBerMedDisc!$Q$30),"",GlobBerMedDisc!$Q$30)</f>
        <v>0</v>
      </c>
      <c r="C245" s="313">
        <v>0</v>
      </c>
    </row>
    <row r="246" spans="1:3" x14ac:dyDescent="0.2">
      <c r="A246" s="311" t="s">
        <v>2275</v>
      </c>
      <c r="B246">
        <f>IF(ISBLANK(GlobBerMedDisc!$Q$31),"",GlobBerMedDisc!$Q$31)</f>
        <v>0</v>
      </c>
      <c r="C246" s="313">
        <v>0</v>
      </c>
    </row>
    <row r="247" spans="1:3" s="311" customFormat="1" x14ac:dyDescent="0.2">
      <c r="A247" s="311" t="s">
        <v>2276</v>
      </c>
      <c r="B247" s="311">
        <f>IF(ISBLANK(GlobBerMedDisc!$O$2),"",GlobBerMedDisc!$O$2)</f>
        <v>1</v>
      </c>
      <c r="C247" s="17">
        <v>1</v>
      </c>
    </row>
    <row r="248" spans="1:3" s="311" customFormat="1" x14ac:dyDescent="0.2">
      <c r="A248" s="311" t="s">
        <v>2277</v>
      </c>
      <c r="B248" s="311">
        <f>IF(ISBLANK(GlobBerMedDisc!$O$3),"",GlobBerMedDisc!$O$3)</f>
        <v>1</v>
      </c>
      <c r="C248" s="17">
        <v>1</v>
      </c>
    </row>
    <row r="249" spans="1:3" s="311" customFormat="1" x14ac:dyDescent="0.2">
      <c r="A249" s="311" t="s">
        <v>2278</v>
      </c>
      <c r="B249" s="311">
        <f>IF(ISBLANK(GlobBerMedDisc!$O$4),"",GlobBerMedDisc!$O$4)</f>
        <v>1</v>
      </c>
      <c r="C249" s="17">
        <v>1</v>
      </c>
    </row>
    <row r="250" spans="1:3" s="311" customFormat="1" x14ac:dyDescent="0.2">
      <c r="A250" s="311" t="s">
        <v>2279</v>
      </c>
      <c r="B250" s="311">
        <f>IF(ISBLANK(GlobBerMedDisc!$O$5),"",GlobBerMedDisc!$O$5)</f>
        <v>1</v>
      </c>
      <c r="C250" s="17">
        <v>1</v>
      </c>
    </row>
    <row r="251" spans="1:3" s="311" customFormat="1" x14ac:dyDescent="0.2">
      <c r="A251" s="311" t="s">
        <v>2280</v>
      </c>
      <c r="B251" s="311">
        <f>IF(ISBLANK(GlobBerMedDisc!$O$6),"",GlobBerMedDisc!$O$6)</f>
        <v>1</v>
      </c>
      <c r="C251" s="17">
        <v>1</v>
      </c>
    </row>
    <row r="252" spans="1:3" s="311" customFormat="1" x14ac:dyDescent="0.2">
      <c r="A252" s="311" t="s">
        <v>2281</v>
      </c>
      <c r="B252" s="311">
        <f>IF(ISBLANK(GlobBerMedDisc!$O$7),"",GlobBerMedDisc!$O$7)</f>
        <v>1</v>
      </c>
      <c r="C252" s="17">
        <v>1</v>
      </c>
    </row>
    <row r="253" spans="1:3" s="311" customFormat="1" x14ac:dyDescent="0.2">
      <c r="A253" s="311" t="s">
        <v>2282</v>
      </c>
      <c r="B253" s="311">
        <f>IF(ISBLANK(GlobBerMedDisc!$O$8),"",GlobBerMedDisc!$O$8)</f>
        <v>1</v>
      </c>
      <c r="C253" s="17">
        <v>1</v>
      </c>
    </row>
    <row r="254" spans="1:3" s="311" customFormat="1" x14ac:dyDescent="0.2">
      <c r="A254" s="311" t="s">
        <v>2283</v>
      </c>
      <c r="B254" s="311">
        <f>IF(ISBLANK(GlobBerMedDisc!$O$9),"",GlobBerMedDisc!$O$9)</f>
        <v>1</v>
      </c>
      <c r="C254" s="17">
        <v>1</v>
      </c>
    </row>
    <row r="255" spans="1:3" s="311" customFormat="1" x14ac:dyDescent="0.2">
      <c r="A255" s="311" t="s">
        <v>2284</v>
      </c>
      <c r="B255" s="311">
        <f>IF(ISBLANK(GlobBerMedDisc!$O$10),"",GlobBerMedDisc!$O$10)</f>
        <v>1</v>
      </c>
      <c r="C255" s="17">
        <v>1</v>
      </c>
    </row>
    <row r="256" spans="1:3" s="311" customFormat="1" x14ac:dyDescent="0.2">
      <c r="A256" s="311" t="s">
        <v>2285</v>
      </c>
      <c r="B256" s="311">
        <f>IF(ISBLANK(GlobBerMedDisc!$O$11),"",GlobBerMedDisc!$O$11)</f>
        <v>1</v>
      </c>
      <c r="C256" s="17">
        <v>1</v>
      </c>
    </row>
    <row r="257" spans="1:3" s="311" customFormat="1" x14ac:dyDescent="0.2">
      <c r="A257" s="311" t="s">
        <v>2286</v>
      </c>
      <c r="B257" s="311">
        <f>IF(ISBLANK(GlobBerMedDisc!$O$12),"",GlobBerMedDisc!$O$12)</f>
        <v>1</v>
      </c>
      <c r="C257" s="17">
        <v>1</v>
      </c>
    </row>
    <row r="258" spans="1:3" s="311" customFormat="1" x14ac:dyDescent="0.2">
      <c r="A258" s="311" t="s">
        <v>2287</v>
      </c>
      <c r="B258" s="311">
        <f>IF(ISBLANK(GlobBerMedDisc!$O$13),"",GlobBerMedDisc!$O$13)</f>
        <v>1</v>
      </c>
      <c r="C258" s="17">
        <v>1</v>
      </c>
    </row>
    <row r="259" spans="1:3" s="311" customFormat="1" x14ac:dyDescent="0.2">
      <c r="A259" s="311" t="s">
        <v>2288</v>
      </c>
      <c r="B259" s="311">
        <f>IF(ISBLANK(GlobBerMedDisc!$O$14),"",GlobBerMedDisc!$O$14)</f>
        <v>1</v>
      </c>
      <c r="C259" s="17">
        <v>1</v>
      </c>
    </row>
    <row r="260" spans="1:3" s="311" customFormat="1" x14ac:dyDescent="0.2">
      <c r="A260" s="311" t="s">
        <v>2289</v>
      </c>
      <c r="B260" s="311">
        <f>IF(ISBLANK(GlobBerMedDisc!$O$15),"",GlobBerMedDisc!$O$15)</f>
        <v>1</v>
      </c>
      <c r="C260" s="17">
        <v>1</v>
      </c>
    </row>
    <row r="261" spans="1:3" s="311" customFormat="1" x14ac:dyDescent="0.2">
      <c r="A261" s="311" t="s">
        <v>2290</v>
      </c>
      <c r="B261" s="311">
        <f>IF(ISBLANK(GlobBerMedDisc!$O$16),"",GlobBerMedDisc!$O$16)</f>
        <v>1</v>
      </c>
      <c r="C261" s="17">
        <v>1</v>
      </c>
    </row>
    <row r="262" spans="1:3" s="311" customFormat="1" x14ac:dyDescent="0.2">
      <c r="A262" s="311" t="s">
        <v>2291</v>
      </c>
      <c r="B262" s="311">
        <f>IF(ISBLANK(GlobBerMedDisc!$O$17),"",GlobBerMedDisc!$O$17)</f>
        <v>1</v>
      </c>
      <c r="C262" s="17">
        <v>1</v>
      </c>
    </row>
    <row r="263" spans="1:3" s="311" customFormat="1" x14ac:dyDescent="0.2">
      <c r="A263" s="311" t="s">
        <v>2292</v>
      </c>
      <c r="B263" s="311">
        <f>IF(ISBLANK(GlobBerMedDisc!$O$18),"",GlobBerMedDisc!$O$18)</f>
        <v>1</v>
      </c>
      <c r="C263" s="17">
        <v>1</v>
      </c>
    </row>
    <row r="264" spans="1:3" s="311" customFormat="1" x14ac:dyDescent="0.2">
      <c r="A264" s="311" t="s">
        <v>2293</v>
      </c>
      <c r="B264" s="311">
        <f>IF(ISBLANK(GlobBerMedDisc!$O$19),"",GlobBerMedDisc!$O$19)</f>
        <v>1</v>
      </c>
      <c r="C264" s="17">
        <v>1</v>
      </c>
    </row>
    <row r="265" spans="1:3" s="311" customFormat="1" x14ac:dyDescent="0.2">
      <c r="A265" s="311" t="s">
        <v>2294</v>
      </c>
      <c r="B265" s="311">
        <f>IF(ISBLANK(GlobBerMedDisc!$O$20),"",GlobBerMedDisc!$O$20)</f>
        <v>1</v>
      </c>
      <c r="C265" s="17">
        <v>1</v>
      </c>
    </row>
    <row r="266" spans="1:3" s="311" customFormat="1" x14ac:dyDescent="0.2">
      <c r="A266" s="311" t="s">
        <v>2295</v>
      </c>
      <c r="B266" s="311">
        <f>IF(ISBLANK(GlobBerMedDisc!$O$21),"",GlobBerMedDisc!$O$21)</f>
        <v>1</v>
      </c>
      <c r="C266" s="17">
        <v>1</v>
      </c>
    </row>
    <row r="267" spans="1:3" s="311" customFormat="1" x14ac:dyDescent="0.2">
      <c r="A267" s="311" t="s">
        <v>2296</v>
      </c>
      <c r="B267" s="311">
        <f>IF(ISBLANK(GlobBerMedDisc!$O$22),"",GlobBerMedDisc!$O$22)</f>
        <v>1</v>
      </c>
      <c r="C267" s="17">
        <v>1</v>
      </c>
    </row>
    <row r="268" spans="1:3" s="311" customFormat="1" x14ac:dyDescent="0.2">
      <c r="A268" s="311" t="s">
        <v>2297</v>
      </c>
      <c r="B268" s="311">
        <f>IF(ISBLANK(GlobBerMedDisc!$O$23),"",GlobBerMedDisc!$O$23)</f>
        <v>1</v>
      </c>
      <c r="C268" s="17">
        <v>1</v>
      </c>
    </row>
    <row r="269" spans="1:3" s="311" customFormat="1" x14ac:dyDescent="0.2">
      <c r="A269" s="311" t="s">
        <v>2298</v>
      </c>
      <c r="B269" s="311">
        <f>IF(ISBLANK(GlobBerMedDisc!$O$24),"",GlobBerMedDisc!$O$24)</f>
        <v>1</v>
      </c>
      <c r="C269" s="17">
        <v>1</v>
      </c>
    </row>
    <row r="270" spans="1:3" s="311" customFormat="1" x14ac:dyDescent="0.2">
      <c r="A270" s="311" t="s">
        <v>2299</v>
      </c>
      <c r="B270" s="311">
        <f>IF(ISBLANK(GlobBerMedDisc!$O$25),"",GlobBerMedDisc!$O$25)</f>
        <v>1</v>
      </c>
      <c r="C270" s="17">
        <v>1</v>
      </c>
    </row>
    <row r="271" spans="1:3" s="311" customFormat="1" x14ac:dyDescent="0.2">
      <c r="A271" s="311" t="s">
        <v>2300</v>
      </c>
      <c r="B271" s="311">
        <f>IF(ISBLANK(GlobBerMedDisc!$O$26),"",GlobBerMedDisc!$O$26)</f>
        <v>1</v>
      </c>
      <c r="C271" s="17">
        <v>1</v>
      </c>
    </row>
    <row r="272" spans="1:3" s="311" customFormat="1" x14ac:dyDescent="0.2">
      <c r="A272" s="311" t="s">
        <v>2301</v>
      </c>
      <c r="B272" s="311">
        <f>IF(ISBLANK(GlobBerMedDisc!$O$27),"",GlobBerMedDisc!$O$27)</f>
        <v>1</v>
      </c>
      <c r="C272" s="17">
        <v>1</v>
      </c>
    </row>
    <row r="273" spans="1:3" s="311" customFormat="1" x14ac:dyDescent="0.2">
      <c r="A273" s="311" t="s">
        <v>2302</v>
      </c>
      <c r="B273" s="311">
        <f>IF(ISBLANK(GlobBerMedDisc!$O$28),"",GlobBerMedDisc!$O$28)</f>
        <v>1</v>
      </c>
      <c r="C273" s="17">
        <v>1</v>
      </c>
    </row>
    <row r="274" spans="1:3" s="311" customFormat="1" x14ac:dyDescent="0.2">
      <c r="A274" s="311" t="s">
        <v>2303</v>
      </c>
      <c r="B274" s="311">
        <f>IF(ISBLANK(GlobBerMedDisc!$O$29),"",GlobBerMedDisc!$O$29)</f>
        <v>1</v>
      </c>
      <c r="C274" s="17">
        <v>1</v>
      </c>
    </row>
    <row r="275" spans="1:3" s="311" customFormat="1" x14ac:dyDescent="0.2">
      <c r="A275" s="311" t="s">
        <v>2304</v>
      </c>
      <c r="B275" s="311">
        <f>IF(ISBLANK(GlobBerMedDisc!$O$30),"",GlobBerMedDisc!$O$30)</f>
        <v>1</v>
      </c>
      <c r="C275" s="17">
        <v>1</v>
      </c>
    </row>
    <row r="276" spans="1:3" s="311" customFormat="1" x14ac:dyDescent="0.2">
      <c r="A276" s="311" t="s">
        <v>2305</v>
      </c>
      <c r="B276" s="311">
        <f>IF(ISBLANK(GlobBerMedDisc!$O$31),"",GlobBerMedDisc!$O$31)</f>
        <v>1</v>
      </c>
      <c r="C276" s="17">
        <v>1</v>
      </c>
    </row>
    <row r="277" spans="1:3" x14ac:dyDescent="0.2">
      <c r="A277" s="311" t="s">
        <v>2306</v>
      </c>
      <c r="B277">
        <f>IF(ISBLANK(GlobBerMedDisc!$N$2),"",GlobBerMedDisc!$N$2)</f>
        <v>0</v>
      </c>
      <c r="C277" s="313">
        <v>0</v>
      </c>
    </row>
    <row r="278" spans="1:3" x14ac:dyDescent="0.2">
      <c r="A278" s="311" t="s">
        <v>2307</v>
      </c>
      <c r="B278">
        <f>IF(ISBLANK(GlobBerMedDisc!$N$3),"",GlobBerMedDisc!$N$3)</f>
        <v>0</v>
      </c>
      <c r="C278" s="313">
        <v>0</v>
      </c>
    </row>
    <row r="279" spans="1:3" x14ac:dyDescent="0.2">
      <c r="A279" s="311" t="s">
        <v>2308</v>
      </c>
      <c r="B279">
        <f>IF(ISBLANK(GlobBerMedDisc!$N$4),"",GlobBerMedDisc!$N$4)</f>
        <v>0</v>
      </c>
      <c r="C279" s="313">
        <v>0</v>
      </c>
    </row>
    <row r="280" spans="1:3" x14ac:dyDescent="0.2">
      <c r="A280" s="311" t="s">
        <v>2309</v>
      </c>
      <c r="B280">
        <f>IF(ISBLANK(GlobBerMedDisc!$N$5),"",GlobBerMedDisc!$N$5)</f>
        <v>0</v>
      </c>
      <c r="C280" s="313">
        <v>0</v>
      </c>
    </row>
    <row r="281" spans="1:3" x14ac:dyDescent="0.2">
      <c r="A281" s="311" t="s">
        <v>2310</v>
      </c>
      <c r="B281" s="311">
        <f>IF(ISBLANK(GlobBerMedDisc!$N$6),"",GlobBerMedDisc!$N$6)</f>
        <v>0</v>
      </c>
      <c r="C281" s="313">
        <v>0</v>
      </c>
    </row>
    <row r="282" spans="1:3" x14ac:dyDescent="0.2">
      <c r="A282" s="311" t="s">
        <v>2311</v>
      </c>
      <c r="B282" s="311">
        <f>IF(ISBLANK(GlobBerMedDisc!$N$7),"",GlobBerMedDisc!$N$7)</f>
        <v>0</v>
      </c>
      <c r="C282" s="313">
        <v>0</v>
      </c>
    </row>
    <row r="283" spans="1:3" x14ac:dyDescent="0.2">
      <c r="A283" s="311" t="s">
        <v>2312</v>
      </c>
      <c r="B283" s="311">
        <f>IF(ISBLANK(GlobBerMedDisc!$N$8),"",GlobBerMedDisc!$N$8)</f>
        <v>0</v>
      </c>
      <c r="C283" s="313">
        <v>0</v>
      </c>
    </row>
    <row r="284" spans="1:3" x14ac:dyDescent="0.2">
      <c r="A284" s="311" t="s">
        <v>2313</v>
      </c>
      <c r="B284" s="311">
        <f>IF(ISBLANK(GlobBerMedDisc!$N$9),"",GlobBerMedDisc!$N$9)</f>
        <v>0</v>
      </c>
      <c r="C284" s="313">
        <v>0</v>
      </c>
    </row>
    <row r="285" spans="1:3" x14ac:dyDescent="0.2">
      <c r="A285" s="311" t="s">
        <v>2314</v>
      </c>
      <c r="B285" s="311">
        <f>IF(ISBLANK(GlobBerMedDisc!$N$10),"",GlobBerMedDisc!$N$10)</f>
        <v>0</v>
      </c>
      <c r="C285" s="313">
        <v>0</v>
      </c>
    </row>
    <row r="286" spans="1:3" x14ac:dyDescent="0.2">
      <c r="A286" s="311" t="s">
        <v>2315</v>
      </c>
      <c r="B286" s="311">
        <f>IF(ISBLANK(GlobBerMedDisc!$N$11),"",GlobBerMedDisc!$N$11)</f>
        <v>0</v>
      </c>
      <c r="C286" s="313">
        <v>0</v>
      </c>
    </row>
    <row r="287" spans="1:3" x14ac:dyDescent="0.2">
      <c r="A287" s="311" t="s">
        <v>2316</v>
      </c>
      <c r="B287" s="311">
        <f>IF(ISBLANK(GlobBerMedDisc!$N$12),"",GlobBerMedDisc!$N$12)</f>
        <v>0</v>
      </c>
      <c r="C287" s="313">
        <v>0</v>
      </c>
    </row>
    <row r="288" spans="1:3" x14ac:dyDescent="0.2">
      <c r="A288" s="311" t="s">
        <v>2317</v>
      </c>
      <c r="B288" s="311">
        <f>IF(ISBLANK(GlobBerMedDisc!$N$13),"",GlobBerMedDisc!$N$13)</f>
        <v>0</v>
      </c>
      <c r="C288" s="313">
        <v>0</v>
      </c>
    </row>
    <row r="289" spans="1:3" x14ac:dyDescent="0.2">
      <c r="A289" s="311" t="s">
        <v>2318</v>
      </c>
      <c r="B289" s="311">
        <f>IF(ISBLANK(GlobBerMedDisc!$N$14),"",GlobBerMedDisc!$N$14)</f>
        <v>0</v>
      </c>
      <c r="C289" s="313">
        <v>0</v>
      </c>
    </row>
    <row r="290" spans="1:3" x14ac:dyDescent="0.2">
      <c r="A290" s="311" t="s">
        <v>2319</v>
      </c>
      <c r="B290" s="311">
        <f>IF(ISBLANK(GlobBerMedDisc!$N$15),"",GlobBerMedDisc!$N$15)</f>
        <v>0</v>
      </c>
      <c r="C290" s="313">
        <v>0</v>
      </c>
    </row>
    <row r="291" spans="1:3" x14ac:dyDescent="0.2">
      <c r="A291" s="311" t="s">
        <v>2320</v>
      </c>
      <c r="B291">
        <f>IF(ISBLANK(GlobBerMedDisc!$N$16),"",GlobBerMedDisc!$N$16)</f>
        <v>0</v>
      </c>
      <c r="C291" s="313">
        <v>0</v>
      </c>
    </row>
    <row r="292" spans="1:3" x14ac:dyDescent="0.2">
      <c r="A292" s="311" t="s">
        <v>2321</v>
      </c>
      <c r="B292">
        <f>IF(ISBLANK(GlobBerMedDisc!$N$17),"",GlobBerMedDisc!$N$17)</f>
        <v>0</v>
      </c>
      <c r="C292" s="313">
        <v>0</v>
      </c>
    </row>
    <row r="293" spans="1:3" x14ac:dyDescent="0.2">
      <c r="A293" s="311" t="s">
        <v>2322</v>
      </c>
      <c r="B293">
        <f>IF(ISBLANK(GlobBerMedDisc!$N$18),"",GlobBerMedDisc!$N$18)</f>
        <v>0</v>
      </c>
      <c r="C293" s="313">
        <v>0</v>
      </c>
    </row>
    <row r="294" spans="1:3" x14ac:dyDescent="0.2">
      <c r="A294" s="311" t="s">
        <v>2323</v>
      </c>
      <c r="B294">
        <f>IF(ISBLANK(GlobBerMedDisc!$N$19),"",GlobBerMedDisc!$N$19)</f>
        <v>0</v>
      </c>
      <c r="C294" s="313">
        <v>0</v>
      </c>
    </row>
    <row r="295" spans="1:3" x14ac:dyDescent="0.2">
      <c r="A295" s="311" t="s">
        <v>2324</v>
      </c>
      <c r="B295">
        <f>IF(ISBLANK(GlobBerMedDisc!$N$20),"",GlobBerMedDisc!$N$20)</f>
        <v>0</v>
      </c>
      <c r="C295" s="313">
        <v>0</v>
      </c>
    </row>
    <row r="296" spans="1:3" s="311" customFormat="1" x14ac:dyDescent="0.2">
      <c r="A296" s="311" t="s">
        <v>2325</v>
      </c>
      <c r="B296">
        <f>IF(ISBLANK(GlobBerMedDisc!$N$21),"",GlobBerMedDisc!$N$21)</f>
        <v>0</v>
      </c>
      <c r="C296" s="313">
        <v>0</v>
      </c>
    </row>
    <row r="297" spans="1:3" s="311" customFormat="1" x14ac:dyDescent="0.2">
      <c r="A297" s="311" t="s">
        <v>2326</v>
      </c>
      <c r="B297">
        <f>IF(ISBLANK(GlobBerMedDisc!$N$22),"",GlobBerMedDisc!$N$22)</f>
        <v>0</v>
      </c>
      <c r="C297" s="313">
        <v>0</v>
      </c>
    </row>
    <row r="298" spans="1:3" s="311" customFormat="1" x14ac:dyDescent="0.2">
      <c r="A298" s="311" t="s">
        <v>2327</v>
      </c>
      <c r="B298">
        <f>IF(ISBLANK(GlobBerMedDisc!$N$23),"",GlobBerMedDisc!$N$23)</f>
        <v>0</v>
      </c>
      <c r="C298" s="313">
        <v>0</v>
      </c>
    </row>
    <row r="299" spans="1:3" s="311" customFormat="1" x14ac:dyDescent="0.2">
      <c r="A299" s="311" t="s">
        <v>2328</v>
      </c>
      <c r="B299">
        <f>IF(ISBLANK(GlobBerMedDisc!$N$24),"",GlobBerMedDisc!$N$24)</f>
        <v>0</v>
      </c>
      <c r="C299" s="313">
        <v>0</v>
      </c>
    </row>
    <row r="300" spans="1:3" s="311" customFormat="1" x14ac:dyDescent="0.2">
      <c r="A300" s="311" t="s">
        <v>2329</v>
      </c>
      <c r="B300">
        <f>IF(ISBLANK(GlobBerMedDisc!$N$25),"",GlobBerMedDisc!$N$25)</f>
        <v>0</v>
      </c>
      <c r="C300" s="313">
        <v>0</v>
      </c>
    </row>
    <row r="301" spans="1:3" s="311" customFormat="1" x14ac:dyDescent="0.2">
      <c r="A301" s="311" t="s">
        <v>2330</v>
      </c>
      <c r="B301">
        <f>IF(ISBLANK(GlobBerMedDisc!$N$26),"",GlobBerMedDisc!$N$26)</f>
        <v>0</v>
      </c>
      <c r="C301" s="313">
        <v>0</v>
      </c>
    </row>
    <row r="302" spans="1:3" s="311" customFormat="1" x14ac:dyDescent="0.2">
      <c r="A302" s="311" t="s">
        <v>2331</v>
      </c>
      <c r="B302">
        <f>IF(ISBLANK(GlobBerMedDisc!$N$27),"",GlobBerMedDisc!$N$27)</f>
        <v>0</v>
      </c>
      <c r="C302" s="313">
        <v>0</v>
      </c>
    </row>
    <row r="303" spans="1:3" s="311" customFormat="1" x14ac:dyDescent="0.2">
      <c r="A303" s="311" t="s">
        <v>2332</v>
      </c>
      <c r="B303">
        <f>IF(ISBLANK(GlobBerMedDisc!$N$28),"",GlobBerMedDisc!$N$28)</f>
        <v>0</v>
      </c>
      <c r="C303" s="313">
        <v>0</v>
      </c>
    </row>
    <row r="304" spans="1:3" s="311" customFormat="1" x14ac:dyDescent="0.2">
      <c r="A304" s="311" t="s">
        <v>2333</v>
      </c>
      <c r="B304">
        <f>IF(ISBLANK(GlobBerMedDisc!$N$29),"",GlobBerMedDisc!$N$29)</f>
        <v>0</v>
      </c>
      <c r="C304" s="313">
        <v>0</v>
      </c>
    </row>
    <row r="305" spans="1:3" s="311" customFormat="1" x14ac:dyDescent="0.2">
      <c r="A305" s="311" t="s">
        <v>2334</v>
      </c>
      <c r="B305">
        <f>IF(ISBLANK(GlobBerMedDisc!$N$30),"",GlobBerMedDisc!$N$30)</f>
        <v>0</v>
      </c>
      <c r="C305" s="313">
        <v>0</v>
      </c>
    </row>
    <row r="306" spans="1:3" x14ac:dyDescent="0.2">
      <c r="A306" s="311" t="s">
        <v>2335</v>
      </c>
      <c r="B306">
        <f>IF(ISBLANK(GlobBerMedDisc!$N$31),"",GlobBerMedDisc!$N$31)</f>
        <v>0</v>
      </c>
      <c r="C306" s="313">
        <v>0</v>
      </c>
    </row>
    <row r="307" spans="1:3" x14ac:dyDescent="0.2">
      <c r="A307" s="311" t="s">
        <v>2336</v>
      </c>
      <c r="B307" t="str">
        <f>IF(ISBLANK(GlobBerMedDisc!$AB$2),"",GlobBerMedDisc!$AB$2)</f>
        <v/>
      </c>
      <c r="C307" s="130"/>
    </row>
    <row r="308" spans="1:3" x14ac:dyDescent="0.2">
      <c r="A308" s="311" t="s">
        <v>2337</v>
      </c>
      <c r="B308" t="str">
        <f>IF(ISBLANK(GlobBerMedDisc!$AB$3),"",GlobBerMedDisc!$AB$3)</f>
        <v/>
      </c>
      <c r="C308" s="130"/>
    </row>
    <row r="309" spans="1:3" x14ac:dyDescent="0.2">
      <c r="A309" s="311" t="s">
        <v>2338</v>
      </c>
      <c r="B309" t="str">
        <f>IF(ISBLANK(GlobBerMedDisc!$AB$4),"",GlobBerMedDisc!$AB$4)</f>
        <v/>
      </c>
      <c r="C309" s="130"/>
    </row>
    <row r="310" spans="1:3" x14ac:dyDescent="0.2">
      <c r="A310" s="311" t="s">
        <v>2339</v>
      </c>
      <c r="B310" t="str">
        <f>IF(ISBLANK(GlobBerMedDisc!$AB$5),"",GlobBerMedDisc!$AB$5)</f>
        <v/>
      </c>
      <c r="C310" s="130"/>
    </row>
    <row r="311" spans="1:3" x14ac:dyDescent="0.2">
      <c r="A311" s="311" t="s">
        <v>2340</v>
      </c>
      <c r="B311" t="str">
        <f>IF(ISBLANK(GlobBerMedDisc!$AB$6),"",GlobBerMedDisc!$AB$6)</f>
        <v/>
      </c>
      <c r="C311" s="130"/>
    </row>
    <row r="312" spans="1:3" x14ac:dyDescent="0.2">
      <c r="A312" s="311" t="s">
        <v>2341</v>
      </c>
      <c r="B312" t="str">
        <f>IF(ISBLANK(GlobBerMedDisc!$AB$7),"",GlobBerMedDisc!$AB$7)</f>
        <v/>
      </c>
      <c r="C312" s="130"/>
    </row>
    <row r="313" spans="1:3" x14ac:dyDescent="0.2">
      <c r="A313" s="311" t="s">
        <v>2342</v>
      </c>
      <c r="B313" t="str">
        <f>IF(ISBLANK(GlobBerMedDisc!$AB$8),"",GlobBerMedDisc!$AB$8)</f>
        <v/>
      </c>
      <c r="C313" s="130"/>
    </row>
    <row r="314" spans="1:3" x14ac:dyDescent="0.2">
      <c r="A314" s="311" t="s">
        <v>2343</v>
      </c>
      <c r="B314" t="str">
        <f>IF(ISBLANK(GlobBerMedDisc!$AB$9),"",GlobBerMedDisc!$AB$9)</f>
        <v/>
      </c>
      <c r="C314" s="130"/>
    </row>
    <row r="315" spans="1:3" x14ac:dyDescent="0.2">
      <c r="A315" s="311" t="s">
        <v>2344</v>
      </c>
      <c r="B315" t="str">
        <f>IF(ISBLANK(GlobBerMedDisc!$AB$10),"",GlobBerMedDisc!$AB$10)</f>
        <v/>
      </c>
      <c r="C315" s="130"/>
    </row>
    <row r="316" spans="1:3" x14ac:dyDescent="0.2">
      <c r="A316" s="311" t="s">
        <v>2345</v>
      </c>
      <c r="B316" t="str">
        <f>IF(ISBLANK(GlobBerMedDisc!$AB$11),"",GlobBerMedDisc!$AB$11)</f>
        <v/>
      </c>
      <c r="C316" s="130"/>
    </row>
    <row r="317" spans="1:3" x14ac:dyDescent="0.2">
      <c r="A317" s="311" t="s">
        <v>2346</v>
      </c>
      <c r="B317" t="str">
        <f>IF(ISBLANK(GlobBerMedDisc!$AB$12),"",GlobBerMedDisc!$AB$12)</f>
        <v/>
      </c>
      <c r="C317" s="130"/>
    </row>
    <row r="318" spans="1:3" x14ac:dyDescent="0.2">
      <c r="A318" s="311" t="s">
        <v>2347</v>
      </c>
      <c r="B318" t="str">
        <f>IF(ISBLANK(GlobBerMedDisc!$AB$13),"",GlobBerMedDisc!$AB$13)</f>
        <v/>
      </c>
      <c r="C318" s="130"/>
    </row>
    <row r="319" spans="1:3" x14ac:dyDescent="0.2">
      <c r="A319" s="311" t="s">
        <v>2348</v>
      </c>
      <c r="B319" t="str">
        <f>IF(ISBLANK(GlobBerMedDisc!$AB$14),"",GlobBerMedDisc!$AB$14)</f>
        <v/>
      </c>
      <c r="C319" s="130"/>
    </row>
    <row r="320" spans="1:3" x14ac:dyDescent="0.2">
      <c r="A320" s="311" t="s">
        <v>2349</v>
      </c>
      <c r="B320" t="str">
        <f>IF(ISBLANK(GlobBerMedDisc!$AB$15),"",GlobBerMedDisc!$AB$15)</f>
        <v/>
      </c>
      <c r="C320" s="130"/>
    </row>
    <row r="321" spans="1:8" x14ac:dyDescent="0.2">
      <c r="A321" s="311" t="s">
        <v>2350</v>
      </c>
      <c r="B321" t="str">
        <f>IF(ISBLANK(GlobBerMedDisc!$AB$16),"",GlobBerMedDisc!$AB$16)</f>
        <v/>
      </c>
      <c r="C321" s="130"/>
    </row>
    <row r="322" spans="1:8" x14ac:dyDescent="0.2">
      <c r="A322" s="311" t="s">
        <v>2351</v>
      </c>
      <c r="B322" t="str">
        <f>IF(ISBLANK(GlobBerMedDisc!$AB$17),"",GlobBerMedDisc!$AB$17)</f>
        <v/>
      </c>
      <c r="C322" s="130"/>
    </row>
    <row r="323" spans="1:8" x14ac:dyDescent="0.2">
      <c r="A323" s="311" t="s">
        <v>2352</v>
      </c>
      <c r="B323" t="str">
        <f>IF(ISBLANK(GlobBerMedDisc!$AB$18),"",GlobBerMedDisc!$AB$18)</f>
        <v/>
      </c>
      <c r="C323" s="130"/>
      <c r="E323" s="311"/>
      <c r="F323" s="311"/>
      <c r="G323" s="311"/>
      <c r="H323" s="311"/>
    </row>
    <row r="324" spans="1:8" x14ac:dyDescent="0.2">
      <c r="A324" s="311" t="s">
        <v>2353</v>
      </c>
      <c r="B324" t="str">
        <f>IF(ISBLANK(GlobBerMedDisc!$AB$19),"",GlobBerMedDisc!$AB$19)</f>
        <v/>
      </c>
      <c r="C324" s="130"/>
      <c r="E324" s="311"/>
      <c r="F324" s="311"/>
      <c r="G324" s="311"/>
      <c r="H324" s="311"/>
    </row>
    <row r="325" spans="1:8" x14ac:dyDescent="0.2">
      <c r="A325" s="311" t="s">
        <v>2354</v>
      </c>
      <c r="B325" t="str">
        <f>IF(ISBLANK(GlobBerMedDisc!$AB$20),"",GlobBerMedDisc!$AB$20)</f>
        <v/>
      </c>
      <c r="C325" s="130"/>
      <c r="E325" s="311"/>
      <c r="F325" s="311"/>
      <c r="G325" s="311"/>
      <c r="H325" s="311"/>
    </row>
    <row r="326" spans="1:8" x14ac:dyDescent="0.2">
      <c r="A326" s="311" t="s">
        <v>2355</v>
      </c>
      <c r="B326" s="311" t="str">
        <f>IF(ISBLANK(GlobBerMedDisc!$AB$21),"",GlobBerMedDisc!$AB$21)</f>
        <v/>
      </c>
      <c r="C326" s="130"/>
      <c r="E326" s="311"/>
      <c r="F326" s="311"/>
      <c r="G326" s="311"/>
      <c r="H326" s="311"/>
    </row>
    <row r="327" spans="1:8" x14ac:dyDescent="0.2">
      <c r="A327" s="311" t="s">
        <v>2356</v>
      </c>
      <c r="B327" s="311" t="str">
        <f>IF(ISBLANK(GlobBerMedDisc!$AB$22),"",GlobBerMedDisc!$AB$22)</f>
        <v/>
      </c>
      <c r="C327" s="130"/>
      <c r="E327" s="311"/>
      <c r="F327" s="311"/>
      <c r="G327" s="311"/>
      <c r="H327" s="311"/>
    </row>
    <row r="328" spans="1:8" x14ac:dyDescent="0.2">
      <c r="A328" s="311" t="s">
        <v>2357</v>
      </c>
      <c r="B328" s="311" t="str">
        <f>IF(ISBLANK(GlobBerMedDisc!$AB$23),"",GlobBerMedDisc!$AB$23)</f>
        <v/>
      </c>
      <c r="C328" s="130"/>
      <c r="E328" s="311"/>
      <c r="F328" s="311"/>
      <c r="G328" s="311"/>
      <c r="H328" s="311"/>
    </row>
    <row r="329" spans="1:8" x14ac:dyDescent="0.2">
      <c r="A329" s="311" t="s">
        <v>2358</v>
      </c>
      <c r="B329" s="311" t="str">
        <f>IF(ISBLANK(GlobBerMedDisc!$AB$24),"",GlobBerMedDisc!$AB$24)</f>
        <v/>
      </c>
      <c r="C329" s="130"/>
      <c r="E329" s="311"/>
      <c r="F329" s="311"/>
      <c r="G329" s="311"/>
      <c r="H329" s="311"/>
    </row>
    <row r="330" spans="1:8" x14ac:dyDescent="0.2">
      <c r="A330" s="311" t="s">
        <v>2359</v>
      </c>
      <c r="B330" s="311" t="str">
        <f>IF(ISBLANK(GlobBerMedDisc!$AB$25),"",GlobBerMedDisc!$AB$25)</f>
        <v/>
      </c>
      <c r="C330" s="130"/>
      <c r="E330" s="311"/>
      <c r="F330" s="311"/>
      <c r="G330" s="311"/>
      <c r="H330" s="311"/>
    </row>
    <row r="331" spans="1:8" x14ac:dyDescent="0.2">
      <c r="A331" s="311" t="s">
        <v>2360</v>
      </c>
      <c r="B331" s="311" t="str">
        <f>IF(ISBLANK(GlobBerMedDisc!$AB$26),"",GlobBerMedDisc!$AB$26)</f>
        <v/>
      </c>
      <c r="C331" s="130"/>
      <c r="E331" s="311"/>
      <c r="F331" s="311"/>
      <c r="G331" s="311"/>
      <c r="H331" s="311"/>
    </row>
    <row r="332" spans="1:8" x14ac:dyDescent="0.2">
      <c r="A332" s="311" t="s">
        <v>2361</v>
      </c>
      <c r="B332" s="311" t="str">
        <f>IF(ISBLANK(GlobBerMedDisc!$AB$27),"",GlobBerMedDisc!$AB$27)</f>
        <v/>
      </c>
      <c r="C332" s="130"/>
      <c r="E332" s="311"/>
      <c r="F332" s="311"/>
      <c r="G332" s="311"/>
      <c r="H332" s="311"/>
    </row>
    <row r="333" spans="1:8" x14ac:dyDescent="0.2">
      <c r="A333" s="311" t="s">
        <v>2362</v>
      </c>
      <c r="B333" s="311" t="str">
        <f>IF(ISBLANK(GlobBerMedDisc!$AB$28),"",GlobBerMedDisc!$AB$28)</f>
        <v/>
      </c>
      <c r="C333" s="130"/>
      <c r="E333" s="311"/>
      <c r="F333" s="311"/>
      <c r="G333" s="311"/>
      <c r="H333" s="311"/>
    </row>
    <row r="334" spans="1:8" x14ac:dyDescent="0.2">
      <c r="A334" s="311" t="s">
        <v>2363</v>
      </c>
      <c r="B334" s="311" t="str">
        <f>IF(ISBLANK(GlobBerMedDisc!$AB$29),"",GlobBerMedDisc!$AB$29)</f>
        <v/>
      </c>
      <c r="C334" s="130"/>
    </row>
    <row r="335" spans="1:8" x14ac:dyDescent="0.2">
      <c r="A335" s="311" t="s">
        <v>2364</v>
      </c>
      <c r="B335" s="311" t="str">
        <f>IF(ISBLANK(GlobBerMedDisc!$AB$30),"",GlobBerMedDisc!$AB$30)</f>
        <v/>
      </c>
      <c r="C335" s="130"/>
    </row>
    <row r="336" spans="1:8" x14ac:dyDescent="0.2">
      <c r="A336" s="311" t="s">
        <v>2365</v>
      </c>
      <c r="B336" t="str">
        <f>IF(ISBLANK(GlobBerMedDisc!$AB$31),"",GlobBerMedDisc!$AB$31)</f>
        <v/>
      </c>
      <c r="C336" s="130"/>
    </row>
    <row r="337" spans="1:3" s="311" customFormat="1" x14ac:dyDescent="0.2">
      <c r="A337" s="311" t="s">
        <v>4187</v>
      </c>
      <c r="B337" s="311" t="b">
        <f>IF(ISBLANK(GlobBerMedDisc!$AF$2),"",GlobBerMedDisc!$AF$2)</f>
        <v>0</v>
      </c>
      <c r="C337" s="311" t="b">
        <v>0</v>
      </c>
    </row>
    <row r="338" spans="1:3" s="311" customFormat="1" x14ac:dyDescent="0.2">
      <c r="A338" s="311" t="s">
        <v>4188</v>
      </c>
      <c r="B338" s="311" t="b">
        <f>IF(ISBLANK(GlobBerMedDisc!$AF$3),"",GlobBerMedDisc!$AF$3)</f>
        <v>0</v>
      </c>
      <c r="C338" s="311" t="b">
        <v>0</v>
      </c>
    </row>
    <row r="339" spans="1:3" s="311" customFormat="1" x14ac:dyDescent="0.2">
      <c r="A339" s="311" t="s">
        <v>4189</v>
      </c>
      <c r="B339" s="311" t="b">
        <f>IF(ISBLANK(GlobBerMedDisc!$AF$4),"",GlobBerMedDisc!$AF$4)</f>
        <v>0</v>
      </c>
      <c r="C339" s="311" t="b">
        <v>0</v>
      </c>
    </row>
    <row r="340" spans="1:3" s="311" customFormat="1" x14ac:dyDescent="0.2">
      <c r="A340" s="311" t="s">
        <v>4190</v>
      </c>
      <c r="B340" s="311" t="b">
        <f>IF(ISBLANK(GlobBerMedDisc!$AF$5),"",GlobBerMedDisc!$AF$5)</f>
        <v>0</v>
      </c>
      <c r="C340" s="311" t="b">
        <v>0</v>
      </c>
    </row>
    <row r="341" spans="1:3" s="311" customFormat="1" x14ac:dyDescent="0.2">
      <c r="A341" s="311" t="s">
        <v>4191</v>
      </c>
      <c r="B341" s="311" t="b">
        <f>IF(ISBLANK(GlobBerMedDisc!$AF$6),"",GlobBerMedDisc!$AF$6)</f>
        <v>0</v>
      </c>
      <c r="C341" s="311" t="b">
        <v>0</v>
      </c>
    </row>
    <row r="342" spans="1:3" s="311" customFormat="1" x14ac:dyDescent="0.2">
      <c r="A342" s="311" t="s">
        <v>4192</v>
      </c>
      <c r="B342" s="311" t="b">
        <f>IF(ISBLANK(GlobBerMedDisc!$AF$7),"",GlobBerMedDisc!$AF$7)</f>
        <v>0</v>
      </c>
      <c r="C342" s="311" t="b">
        <v>0</v>
      </c>
    </row>
    <row r="343" spans="1:3" s="311" customFormat="1" x14ac:dyDescent="0.2">
      <c r="A343" s="311" t="s">
        <v>4193</v>
      </c>
      <c r="B343" s="311" t="b">
        <f>IF(ISBLANK(GlobBerMedDisc!$AF$8),"",GlobBerMedDisc!$AF$8)</f>
        <v>0</v>
      </c>
      <c r="C343" s="311" t="b">
        <v>0</v>
      </c>
    </row>
    <row r="344" spans="1:3" s="311" customFormat="1" x14ac:dyDescent="0.2">
      <c r="A344" s="311" t="s">
        <v>4194</v>
      </c>
      <c r="B344" s="311" t="b">
        <f>IF(ISBLANK(GlobBerMedDisc!$AF$9),"",GlobBerMedDisc!$AF$9)</f>
        <v>0</v>
      </c>
      <c r="C344" s="311" t="b">
        <v>0</v>
      </c>
    </row>
    <row r="345" spans="1:3" s="311" customFormat="1" x14ac:dyDescent="0.2">
      <c r="A345" s="311" t="s">
        <v>4195</v>
      </c>
      <c r="B345" s="311" t="b">
        <f>IF(ISBLANK(GlobBerMedDisc!$AF$10),"",GlobBerMedDisc!$AF$10)</f>
        <v>0</v>
      </c>
      <c r="C345" s="311" t="b">
        <v>0</v>
      </c>
    </row>
    <row r="346" spans="1:3" s="311" customFormat="1" x14ac:dyDescent="0.2">
      <c r="A346" s="311" t="s">
        <v>4196</v>
      </c>
      <c r="B346" s="311" t="b">
        <f>IF(ISBLANK(GlobBerMedDisc!$AF$11),"",GlobBerMedDisc!$AF$11)</f>
        <v>0</v>
      </c>
      <c r="C346" s="311" t="b">
        <v>0</v>
      </c>
    </row>
    <row r="347" spans="1:3" s="311" customFormat="1" x14ac:dyDescent="0.2">
      <c r="A347" s="311" t="s">
        <v>4197</v>
      </c>
      <c r="B347" s="311" t="b">
        <f>IF(ISBLANK(GlobBerMedDisc!$AF$12),"",GlobBerMedDisc!$AF$12)</f>
        <v>0</v>
      </c>
      <c r="C347" s="311" t="b">
        <v>0</v>
      </c>
    </row>
    <row r="348" spans="1:3" s="311" customFormat="1" x14ac:dyDescent="0.2">
      <c r="A348" s="311" t="s">
        <v>4198</v>
      </c>
      <c r="B348" s="311" t="b">
        <f>IF(ISBLANK(GlobBerMedDisc!$AF$13),"",GlobBerMedDisc!$AF$13)</f>
        <v>0</v>
      </c>
      <c r="C348" s="311" t="b">
        <v>0</v>
      </c>
    </row>
    <row r="349" spans="1:3" s="311" customFormat="1" x14ac:dyDescent="0.2">
      <c r="A349" s="311" t="s">
        <v>4199</v>
      </c>
      <c r="B349" s="311" t="b">
        <f>IF(ISBLANK(GlobBerMedDisc!$AF$14),"",GlobBerMedDisc!$AF$14)</f>
        <v>0</v>
      </c>
      <c r="C349" s="311" t="b">
        <v>0</v>
      </c>
    </row>
    <row r="350" spans="1:3" s="311" customFormat="1" x14ac:dyDescent="0.2">
      <c r="A350" s="311" t="s">
        <v>4200</v>
      </c>
      <c r="B350" s="311" t="b">
        <f>IF(ISBLANK(GlobBerMedDisc!$AF$15),"",GlobBerMedDisc!$AF$15)</f>
        <v>0</v>
      </c>
      <c r="C350" s="311" t="b">
        <v>0</v>
      </c>
    </row>
    <row r="351" spans="1:3" s="311" customFormat="1" x14ac:dyDescent="0.2">
      <c r="A351" s="311" t="s">
        <v>4201</v>
      </c>
      <c r="B351" s="311" t="b">
        <f>IF(ISBLANK(GlobBerMedDisc!$AF$16),"",GlobBerMedDisc!$AF$16)</f>
        <v>0</v>
      </c>
      <c r="C351" s="311" t="b">
        <v>0</v>
      </c>
    </row>
    <row r="352" spans="1:3" s="311" customFormat="1" x14ac:dyDescent="0.2">
      <c r="A352" s="311" t="s">
        <v>4202</v>
      </c>
      <c r="B352" s="311" t="b">
        <f>IF(ISBLANK(GlobBerMedDisc!$AF$17),"",GlobBerMedDisc!$AF$17)</f>
        <v>0</v>
      </c>
      <c r="C352" s="311" t="b">
        <v>0</v>
      </c>
    </row>
    <row r="353" spans="1:3" s="311" customFormat="1" x14ac:dyDescent="0.2">
      <c r="A353" s="311" t="s">
        <v>4203</v>
      </c>
      <c r="B353" s="311" t="b">
        <f>IF(ISBLANK(GlobBerMedDisc!$AF$18),"",GlobBerMedDisc!$AF$18)</f>
        <v>0</v>
      </c>
      <c r="C353" s="311" t="b">
        <v>0</v>
      </c>
    </row>
    <row r="354" spans="1:3" s="311" customFormat="1" x14ac:dyDescent="0.2">
      <c r="A354" s="311" t="s">
        <v>4204</v>
      </c>
      <c r="B354" s="311" t="b">
        <f>IF(ISBLANK(GlobBerMedDisc!$AF$19),"",GlobBerMedDisc!$AF$19)</f>
        <v>0</v>
      </c>
      <c r="C354" s="311" t="b">
        <v>0</v>
      </c>
    </row>
    <row r="355" spans="1:3" s="311" customFormat="1" x14ac:dyDescent="0.2">
      <c r="A355" s="311" t="s">
        <v>4205</v>
      </c>
      <c r="B355" s="311" t="b">
        <f>IF(ISBLANK(GlobBerMedDisc!$AF$20),"",GlobBerMedDisc!$AF$20)</f>
        <v>0</v>
      </c>
      <c r="C355" s="311" t="b">
        <v>0</v>
      </c>
    </row>
    <row r="356" spans="1:3" s="311" customFormat="1" x14ac:dyDescent="0.2">
      <c r="A356" s="311" t="s">
        <v>4206</v>
      </c>
      <c r="B356" s="311" t="b">
        <f>IF(ISBLANK(GlobBerMedDisc!$AF$21),"",GlobBerMedDisc!$AF$21)</f>
        <v>0</v>
      </c>
      <c r="C356" s="311" t="b">
        <v>0</v>
      </c>
    </row>
    <row r="357" spans="1:3" s="311" customFormat="1" x14ac:dyDescent="0.2">
      <c r="A357" s="311" t="s">
        <v>4207</v>
      </c>
      <c r="B357" s="311" t="b">
        <f>IF(ISBLANK(GlobBerMedDisc!$AF$22),"",GlobBerMedDisc!$AF$22)</f>
        <v>0</v>
      </c>
      <c r="C357" s="311" t="b">
        <v>0</v>
      </c>
    </row>
    <row r="358" spans="1:3" s="311" customFormat="1" x14ac:dyDescent="0.2">
      <c r="A358" s="311" t="s">
        <v>4208</v>
      </c>
      <c r="B358" s="311" t="b">
        <f>IF(ISBLANK(GlobBerMedDisc!$AF$23),"",GlobBerMedDisc!$AF$23)</f>
        <v>0</v>
      </c>
      <c r="C358" s="311" t="b">
        <v>0</v>
      </c>
    </row>
    <row r="359" spans="1:3" s="311" customFormat="1" x14ac:dyDescent="0.2">
      <c r="A359" s="311" t="s">
        <v>4209</v>
      </c>
      <c r="B359" s="311" t="b">
        <f>IF(ISBLANK(GlobBerMedDisc!$AF$24),"",GlobBerMedDisc!$AF$24)</f>
        <v>0</v>
      </c>
      <c r="C359" s="311" t="b">
        <v>0</v>
      </c>
    </row>
    <row r="360" spans="1:3" s="311" customFormat="1" x14ac:dyDescent="0.2">
      <c r="A360" s="311" t="s">
        <v>4210</v>
      </c>
      <c r="B360" s="311" t="b">
        <f>IF(ISBLANK(GlobBerMedDisc!$AF$25),"",GlobBerMedDisc!$AF$25)</f>
        <v>0</v>
      </c>
      <c r="C360" s="311" t="b">
        <v>0</v>
      </c>
    </row>
    <row r="361" spans="1:3" s="311" customFormat="1" x14ac:dyDescent="0.2">
      <c r="A361" s="311" t="s">
        <v>4211</v>
      </c>
      <c r="B361" s="311" t="b">
        <f>IF(ISBLANK(GlobBerMedDisc!$AF$26),"",GlobBerMedDisc!$AF$26)</f>
        <v>0</v>
      </c>
      <c r="C361" s="311" t="b">
        <v>0</v>
      </c>
    </row>
    <row r="362" spans="1:3" s="311" customFormat="1" x14ac:dyDescent="0.2">
      <c r="A362" s="311" t="s">
        <v>4212</v>
      </c>
      <c r="B362" s="311" t="b">
        <f>IF(ISBLANK(GlobBerMedDisc!$AF$27),"",GlobBerMedDisc!$AF$27)</f>
        <v>0</v>
      </c>
      <c r="C362" s="311" t="b">
        <v>0</v>
      </c>
    </row>
    <row r="363" spans="1:3" s="311" customFormat="1" x14ac:dyDescent="0.2">
      <c r="A363" s="311" t="s">
        <v>4213</v>
      </c>
      <c r="B363" s="311" t="b">
        <f>IF(ISBLANK(GlobBerMedDisc!$AF$28),"",GlobBerMedDisc!$AF$28)</f>
        <v>0</v>
      </c>
      <c r="C363" s="311" t="b">
        <v>0</v>
      </c>
    </row>
    <row r="364" spans="1:3" s="311" customFormat="1" x14ac:dyDescent="0.2">
      <c r="A364" s="311" t="s">
        <v>4214</v>
      </c>
      <c r="B364" s="311" t="b">
        <f>IF(ISBLANK(GlobBerMedDisc!$AF$29),"",GlobBerMedDisc!$AF$29)</f>
        <v>0</v>
      </c>
      <c r="C364" s="311" t="b">
        <v>0</v>
      </c>
    </row>
    <row r="365" spans="1:3" s="311" customFormat="1" x14ac:dyDescent="0.2">
      <c r="A365" s="311" t="s">
        <v>4215</v>
      </c>
      <c r="B365" s="311" t="b">
        <f>IF(ISBLANK(GlobBerMedDisc!$AF$30),"",GlobBerMedDisc!$AF$30)</f>
        <v>0</v>
      </c>
      <c r="C365" s="311" t="b">
        <v>0</v>
      </c>
    </row>
    <row r="366" spans="1:3" s="311" customFormat="1" x14ac:dyDescent="0.2">
      <c r="A366" s="311" t="s">
        <v>4216</v>
      </c>
      <c r="B366" s="311" t="b">
        <f>IF(ISBLANK(GlobBerMedDisc!$AF$31),"",GlobBerMedDisc!$AF$31)</f>
        <v>0</v>
      </c>
      <c r="C366" s="311" t="b">
        <v>0</v>
      </c>
    </row>
    <row r="367" spans="1:3" s="311" customFormat="1" x14ac:dyDescent="0.2">
      <c r="A367" s="311" t="s">
        <v>4217</v>
      </c>
      <c r="B367" s="311" t="str">
        <f>IF(ISBLANK(GlobBerMedDisc!$AG$2),"",GlobBerMedDisc!$AG$2)</f>
        <v/>
      </c>
      <c r="C367" s="130"/>
    </row>
    <row r="368" spans="1:3" s="311" customFormat="1" x14ac:dyDescent="0.2">
      <c r="A368" s="311" t="s">
        <v>4218</v>
      </c>
      <c r="B368" s="311" t="str">
        <f>IF(ISBLANK(GlobBerMedDisc!$AG$3),"",GlobBerMedDisc!$AG$3)</f>
        <v/>
      </c>
      <c r="C368" s="130"/>
    </row>
    <row r="369" spans="1:3" s="311" customFormat="1" x14ac:dyDescent="0.2">
      <c r="A369" s="311" t="s">
        <v>4219</v>
      </c>
      <c r="B369" s="311" t="str">
        <f>IF(ISBLANK(GlobBerMedDisc!$AG$4),"",GlobBerMedDisc!$AG$4)</f>
        <v/>
      </c>
      <c r="C369" s="130"/>
    </row>
    <row r="370" spans="1:3" s="311" customFormat="1" x14ac:dyDescent="0.2">
      <c r="A370" s="311" t="s">
        <v>4220</v>
      </c>
      <c r="B370" s="311" t="str">
        <f>IF(ISBLANK(GlobBerMedDisc!$AG$5),"",GlobBerMedDisc!$AG$5)</f>
        <v/>
      </c>
      <c r="C370" s="130"/>
    </row>
    <row r="371" spans="1:3" s="311" customFormat="1" x14ac:dyDescent="0.2">
      <c r="A371" s="311" t="s">
        <v>4221</v>
      </c>
      <c r="B371" s="311" t="str">
        <f>IF(ISBLANK(GlobBerMedDisc!$AG$6),"",GlobBerMedDisc!$AG$6)</f>
        <v/>
      </c>
      <c r="C371" s="130"/>
    </row>
    <row r="372" spans="1:3" s="311" customFormat="1" x14ac:dyDescent="0.2">
      <c r="A372" s="311" t="s">
        <v>4222</v>
      </c>
      <c r="B372" s="311" t="str">
        <f>IF(ISBLANK(GlobBerMedDisc!$AG$7),"",GlobBerMedDisc!$AG$7)</f>
        <v/>
      </c>
      <c r="C372" s="130"/>
    </row>
    <row r="373" spans="1:3" s="311" customFormat="1" x14ac:dyDescent="0.2">
      <c r="A373" s="311" t="s">
        <v>4223</v>
      </c>
      <c r="B373" s="311" t="str">
        <f>IF(ISBLANK(GlobBerMedDisc!$AG$8),"",GlobBerMedDisc!$AG$8)</f>
        <v/>
      </c>
      <c r="C373" s="130"/>
    </row>
    <row r="374" spans="1:3" s="311" customFormat="1" x14ac:dyDescent="0.2">
      <c r="A374" s="311" t="s">
        <v>4224</v>
      </c>
      <c r="B374" s="311" t="str">
        <f>IF(ISBLANK(GlobBerMedDisc!$AG$9),"",GlobBerMedDisc!$AG$9)</f>
        <v/>
      </c>
      <c r="C374" s="130"/>
    </row>
    <row r="375" spans="1:3" s="311" customFormat="1" x14ac:dyDescent="0.2">
      <c r="A375" s="311" t="s">
        <v>4225</v>
      </c>
      <c r="B375" s="311" t="str">
        <f>IF(ISBLANK(GlobBerMedDisc!$AG$10),"",GlobBerMedDisc!$AG$10)</f>
        <v/>
      </c>
      <c r="C375" s="130"/>
    </row>
    <row r="376" spans="1:3" s="311" customFormat="1" x14ac:dyDescent="0.2">
      <c r="A376" s="311" t="s">
        <v>4226</v>
      </c>
      <c r="B376" s="311" t="str">
        <f>IF(ISBLANK(GlobBerMedDisc!$AG$11),"",GlobBerMedDisc!$AG$11)</f>
        <v/>
      </c>
      <c r="C376" s="130"/>
    </row>
    <row r="377" spans="1:3" s="311" customFormat="1" x14ac:dyDescent="0.2">
      <c r="A377" s="311" t="s">
        <v>4227</v>
      </c>
      <c r="B377" s="311" t="str">
        <f>IF(ISBLANK(GlobBerMedDisc!$AG$12),"",GlobBerMedDisc!$AG$12)</f>
        <v/>
      </c>
      <c r="C377" s="130"/>
    </row>
    <row r="378" spans="1:3" s="311" customFormat="1" x14ac:dyDescent="0.2">
      <c r="A378" s="311" t="s">
        <v>4228</v>
      </c>
      <c r="B378" s="311" t="str">
        <f>IF(ISBLANK(GlobBerMedDisc!$AG$13),"",GlobBerMedDisc!$AG$13)</f>
        <v/>
      </c>
      <c r="C378" s="130"/>
    </row>
    <row r="379" spans="1:3" s="311" customFormat="1" x14ac:dyDescent="0.2">
      <c r="A379" s="311" t="s">
        <v>4229</v>
      </c>
      <c r="B379" s="311" t="str">
        <f>IF(ISBLANK(GlobBerMedDisc!$AG$14),"",GlobBerMedDisc!$AG$14)</f>
        <v/>
      </c>
      <c r="C379" s="130"/>
    </row>
    <row r="380" spans="1:3" s="311" customFormat="1" x14ac:dyDescent="0.2">
      <c r="A380" s="311" t="s">
        <v>4230</v>
      </c>
      <c r="B380" s="311" t="str">
        <f>IF(ISBLANK(GlobBerMedDisc!$AG$15),"",GlobBerMedDisc!$AG$15)</f>
        <v/>
      </c>
      <c r="C380" s="130"/>
    </row>
    <row r="381" spans="1:3" s="311" customFormat="1" x14ac:dyDescent="0.2">
      <c r="A381" s="311" t="s">
        <v>4231</v>
      </c>
      <c r="B381" s="311" t="str">
        <f>IF(ISBLANK(GlobBerMedDisc!$AG$16),"",GlobBerMedDisc!$AG$16)</f>
        <v/>
      </c>
      <c r="C381" s="130"/>
    </row>
    <row r="382" spans="1:3" s="311" customFormat="1" x14ac:dyDescent="0.2">
      <c r="A382" s="311" t="s">
        <v>4232</v>
      </c>
      <c r="B382" s="311" t="str">
        <f>IF(ISBLANK(GlobBerMedDisc!$AG$17),"",GlobBerMedDisc!$AG$17)</f>
        <v/>
      </c>
      <c r="C382" s="130"/>
    </row>
    <row r="383" spans="1:3" s="311" customFormat="1" x14ac:dyDescent="0.2">
      <c r="A383" s="311" t="s">
        <v>4233</v>
      </c>
      <c r="B383" s="311" t="str">
        <f>IF(ISBLANK(GlobBerMedDisc!$AG$18),"",GlobBerMedDisc!$AG$18)</f>
        <v/>
      </c>
      <c r="C383" s="130"/>
    </row>
    <row r="384" spans="1:3" s="311" customFormat="1" x14ac:dyDescent="0.2">
      <c r="A384" s="311" t="s">
        <v>4234</v>
      </c>
      <c r="B384" s="311" t="str">
        <f>IF(ISBLANK(GlobBerMedDisc!$AG$19),"",GlobBerMedDisc!$AG$19)</f>
        <v/>
      </c>
      <c r="C384" s="130"/>
    </row>
    <row r="385" spans="1:3" s="311" customFormat="1" x14ac:dyDescent="0.2">
      <c r="A385" s="311" t="s">
        <v>4235</v>
      </c>
      <c r="B385" s="311" t="str">
        <f>IF(ISBLANK(GlobBerMedDisc!$AG$20),"",GlobBerMedDisc!$AG$20)</f>
        <v/>
      </c>
      <c r="C385" s="130"/>
    </row>
    <row r="386" spans="1:3" s="311" customFormat="1" x14ac:dyDescent="0.2">
      <c r="A386" s="311" t="s">
        <v>4236</v>
      </c>
      <c r="B386" s="311" t="str">
        <f>IF(ISBLANK(GlobBerMedDisc!$AG$21),"",GlobBerMedDisc!$AG$21)</f>
        <v/>
      </c>
      <c r="C386" s="130"/>
    </row>
    <row r="387" spans="1:3" s="311" customFormat="1" x14ac:dyDescent="0.2">
      <c r="A387" s="311" t="s">
        <v>4237</v>
      </c>
      <c r="B387" s="311" t="str">
        <f>IF(ISBLANK(GlobBerMedDisc!$AG$22),"",GlobBerMedDisc!$AG$22)</f>
        <v/>
      </c>
      <c r="C387" s="130"/>
    </row>
    <row r="388" spans="1:3" s="311" customFormat="1" x14ac:dyDescent="0.2">
      <c r="A388" s="311" t="s">
        <v>4238</v>
      </c>
      <c r="B388" s="311" t="str">
        <f>IF(ISBLANK(GlobBerMedDisc!$AG$23),"",GlobBerMedDisc!$AG$23)</f>
        <v/>
      </c>
      <c r="C388" s="130"/>
    </row>
    <row r="389" spans="1:3" s="311" customFormat="1" x14ac:dyDescent="0.2">
      <c r="A389" s="311" t="s">
        <v>4239</v>
      </c>
      <c r="B389" s="311" t="str">
        <f>IF(ISBLANK(GlobBerMedDisc!$AG$24),"",GlobBerMedDisc!$AG$24)</f>
        <v/>
      </c>
      <c r="C389" s="130"/>
    </row>
    <row r="390" spans="1:3" s="311" customFormat="1" x14ac:dyDescent="0.2">
      <c r="A390" s="311" t="s">
        <v>4240</v>
      </c>
      <c r="B390" s="311" t="str">
        <f>IF(ISBLANK(GlobBerMedDisc!$AG$25),"",GlobBerMedDisc!$AG$25)</f>
        <v/>
      </c>
      <c r="C390" s="130"/>
    </row>
    <row r="391" spans="1:3" s="311" customFormat="1" x14ac:dyDescent="0.2">
      <c r="A391" s="311" t="s">
        <v>4241</v>
      </c>
      <c r="B391" s="311" t="str">
        <f>IF(ISBLANK(GlobBerMedDisc!$AG$26),"",GlobBerMedDisc!$AG$26)</f>
        <v/>
      </c>
      <c r="C391" s="130"/>
    </row>
    <row r="392" spans="1:3" s="311" customFormat="1" x14ac:dyDescent="0.2">
      <c r="A392" s="311" t="s">
        <v>4242</v>
      </c>
      <c r="B392" s="311" t="str">
        <f>IF(ISBLANK(GlobBerMedDisc!$AG$27),"",GlobBerMedDisc!$AG$27)</f>
        <v/>
      </c>
      <c r="C392" s="130"/>
    </row>
    <row r="393" spans="1:3" s="311" customFormat="1" x14ac:dyDescent="0.2">
      <c r="A393" s="311" t="s">
        <v>4243</v>
      </c>
      <c r="B393" s="311" t="str">
        <f>IF(ISBLANK(GlobBerMedDisc!$AG$28),"",GlobBerMedDisc!$AG$28)</f>
        <v/>
      </c>
      <c r="C393" s="130"/>
    </row>
    <row r="394" spans="1:3" s="311" customFormat="1" x14ac:dyDescent="0.2">
      <c r="A394" s="311" t="s">
        <v>4244</v>
      </c>
      <c r="B394" s="311" t="str">
        <f>IF(ISBLANK(GlobBerMedDisc!$AG$29),"",GlobBerMedDisc!$AG$29)</f>
        <v/>
      </c>
      <c r="C394" s="130"/>
    </row>
    <row r="395" spans="1:3" s="311" customFormat="1" x14ac:dyDescent="0.2">
      <c r="A395" s="311" t="s">
        <v>4245</v>
      </c>
      <c r="B395" s="311" t="str">
        <f>IF(ISBLANK(GlobBerMedDisc!$AG$30),"",GlobBerMedDisc!$AG$30)</f>
        <v/>
      </c>
      <c r="C395" s="130"/>
    </row>
    <row r="396" spans="1:3" s="311" customFormat="1" x14ac:dyDescent="0.2">
      <c r="A396" s="311" t="s">
        <v>4246</v>
      </c>
      <c r="B396" s="311" t="str">
        <f>IF(ISBLANK(GlobBerMedDisc!$AG$31),"",GlobBerMedDisc!$AG$31)</f>
        <v/>
      </c>
      <c r="C396" s="130"/>
    </row>
    <row r="397" spans="1:3" x14ac:dyDescent="0.2">
      <c r="A397" s="311" t="s">
        <v>2366</v>
      </c>
      <c r="B397" s="313">
        <f>IF(ISBLANK(GlobBerMedDisc!$E$2),"",GlobBerMedDisc!$E$2)</f>
        <v>0</v>
      </c>
      <c r="C397" s="313">
        <v>0</v>
      </c>
    </row>
    <row r="398" spans="1:3" x14ac:dyDescent="0.2">
      <c r="A398" s="311" t="s">
        <v>2367</v>
      </c>
      <c r="B398" s="313">
        <f>IF(ISBLANK(GlobBerMedDisc!$E$3),"",GlobBerMedDisc!$E$3)</f>
        <v>0</v>
      </c>
      <c r="C398" s="313">
        <v>0</v>
      </c>
    </row>
    <row r="399" spans="1:3" x14ac:dyDescent="0.2">
      <c r="A399" s="311" t="s">
        <v>2368</v>
      </c>
      <c r="B399" s="313">
        <f>IF(ISBLANK(GlobBerMedDisc!$E$4),"",GlobBerMedDisc!$E$4)</f>
        <v>0</v>
      </c>
      <c r="C399" s="313">
        <v>0</v>
      </c>
    </row>
    <row r="400" spans="1:3" x14ac:dyDescent="0.2">
      <c r="A400" s="311" t="s">
        <v>2369</v>
      </c>
      <c r="B400" s="313">
        <f>IF(ISBLANK(GlobBerMedDisc!$E$5),"",GlobBerMedDisc!$E$5)</f>
        <v>0</v>
      </c>
      <c r="C400" s="313">
        <v>0</v>
      </c>
    </row>
    <row r="401" spans="1:6" x14ac:dyDescent="0.2">
      <c r="A401" s="311" t="s">
        <v>2370</v>
      </c>
      <c r="B401" s="313">
        <f>IF(ISBLANK(GlobBerMedDisc!$E$6),"",GlobBerMedDisc!$E$6)</f>
        <v>0</v>
      </c>
      <c r="C401" s="313">
        <v>0</v>
      </c>
    </row>
    <row r="402" spans="1:6" x14ac:dyDescent="0.2">
      <c r="A402" s="311" t="s">
        <v>2371</v>
      </c>
      <c r="B402" s="313">
        <f>IF(ISBLANK(GlobBerMedDisc!$E$7),"",GlobBerMedDisc!$E$7)</f>
        <v>0</v>
      </c>
      <c r="C402" s="313">
        <v>0</v>
      </c>
    </row>
    <row r="403" spans="1:6" x14ac:dyDescent="0.2">
      <c r="A403" s="311" t="s">
        <v>2372</v>
      </c>
      <c r="B403" s="313">
        <f>IF(ISBLANK(GlobBerMedDisc!$E$8),"",GlobBerMedDisc!$E$8)</f>
        <v>0</v>
      </c>
      <c r="C403" s="313">
        <v>0</v>
      </c>
    </row>
    <row r="404" spans="1:6" x14ac:dyDescent="0.2">
      <c r="A404" s="311" t="s">
        <v>2373</v>
      </c>
      <c r="B404" s="313">
        <f>IF(ISBLANK(GlobBerMedDisc!$E$9),"",GlobBerMedDisc!$E$9)</f>
        <v>0</v>
      </c>
      <c r="C404" s="313">
        <v>0</v>
      </c>
    </row>
    <row r="405" spans="1:6" x14ac:dyDescent="0.2">
      <c r="A405" s="311" t="s">
        <v>2374</v>
      </c>
      <c r="B405" s="313">
        <f>IF(ISBLANK(GlobBerMedDisc!$E$10),"",GlobBerMedDisc!$E$10)</f>
        <v>0</v>
      </c>
      <c r="C405" s="313">
        <v>0</v>
      </c>
    </row>
    <row r="406" spans="1:6" x14ac:dyDescent="0.2">
      <c r="A406" s="311" t="s">
        <v>2375</v>
      </c>
      <c r="B406" s="313">
        <f>IF(ISBLANK(GlobBerMedDisc!$E$11),"",GlobBerMedDisc!$E$11)</f>
        <v>0</v>
      </c>
      <c r="C406" s="313">
        <v>0</v>
      </c>
    </row>
    <row r="407" spans="1:6" x14ac:dyDescent="0.2">
      <c r="A407" s="311" t="s">
        <v>2376</v>
      </c>
      <c r="B407" s="313">
        <f>IF(ISBLANK(GlobBerMedDisc!$E$12),"",GlobBerMedDisc!$E$12)</f>
        <v>0</v>
      </c>
      <c r="C407" s="313">
        <v>0</v>
      </c>
    </row>
    <row r="408" spans="1:6" x14ac:dyDescent="0.2">
      <c r="A408" s="311" t="s">
        <v>2377</v>
      </c>
      <c r="B408" s="313">
        <f>IF(ISBLANK(GlobBerMedDisc!$E$13),"",GlobBerMedDisc!$E$13)</f>
        <v>0</v>
      </c>
      <c r="C408" s="313">
        <v>0</v>
      </c>
    </row>
    <row r="409" spans="1:6" x14ac:dyDescent="0.2">
      <c r="A409" s="311" t="s">
        <v>2378</v>
      </c>
      <c r="B409" s="313">
        <f>IF(ISBLANK(GlobBerMedDisc!$E$14),"",GlobBerMedDisc!$E$14)</f>
        <v>0</v>
      </c>
      <c r="C409" s="313">
        <v>0</v>
      </c>
    </row>
    <row r="410" spans="1:6" x14ac:dyDescent="0.2">
      <c r="A410" s="311" t="s">
        <v>2379</v>
      </c>
      <c r="B410" s="313">
        <f>IF(ISBLANK(GlobBerMedDisc!$E$15),"",GlobBerMedDisc!$E$15)</f>
        <v>0</v>
      </c>
      <c r="C410" s="313">
        <v>0</v>
      </c>
    </row>
    <row r="411" spans="1:6" x14ac:dyDescent="0.2">
      <c r="A411" s="311" t="s">
        <v>2380</v>
      </c>
      <c r="B411" s="313">
        <f>IF(ISBLANK(GlobBerMedDisc!$E$16),"",GlobBerMedDisc!$E$16)</f>
        <v>0</v>
      </c>
      <c r="C411" s="313">
        <v>0</v>
      </c>
    </row>
    <row r="412" spans="1:6" x14ac:dyDescent="0.2">
      <c r="A412" s="311" t="s">
        <v>2381</v>
      </c>
      <c r="B412" s="313">
        <f>IF(ISBLANK(GlobBerMedDisc!$E$17),"",GlobBerMedDisc!$E$17)</f>
        <v>0</v>
      </c>
      <c r="C412" s="313">
        <v>0</v>
      </c>
    </row>
    <row r="413" spans="1:6" x14ac:dyDescent="0.2">
      <c r="A413" s="311" t="s">
        <v>2382</v>
      </c>
      <c r="B413" s="313">
        <f>IF(ISBLANK(GlobBerMedDisc!$E$18),"",GlobBerMedDisc!$E$18)</f>
        <v>0</v>
      </c>
      <c r="C413" s="313">
        <v>0</v>
      </c>
    </row>
    <row r="414" spans="1:6" x14ac:dyDescent="0.2">
      <c r="A414" s="311" t="s">
        <v>2383</v>
      </c>
      <c r="B414" s="313">
        <f>IF(ISBLANK(GlobBerMedDisc!$E$19),"",GlobBerMedDisc!$E$19)</f>
        <v>0</v>
      </c>
      <c r="C414" s="313">
        <v>0</v>
      </c>
    </row>
    <row r="415" spans="1:6" x14ac:dyDescent="0.2">
      <c r="A415" s="311" t="s">
        <v>2384</v>
      </c>
      <c r="B415" s="313">
        <f>IF(ISBLANK(GlobBerMedDisc!$E$20),"",GlobBerMedDisc!$E$20)</f>
        <v>0</v>
      </c>
      <c r="C415" s="313">
        <v>0</v>
      </c>
    </row>
    <row r="416" spans="1:6" x14ac:dyDescent="0.2">
      <c r="A416" s="311" t="s">
        <v>2385</v>
      </c>
      <c r="B416" s="313">
        <f>IF(ISBLANK(GlobBerMedDisc!$E$21),"",GlobBerMedDisc!$E$21)</f>
        <v>0</v>
      </c>
      <c r="C416" s="313">
        <v>0</v>
      </c>
      <c r="F416" s="311"/>
    </row>
    <row r="417" spans="1:3" x14ac:dyDescent="0.2">
      <c r="A417" s="311" t="s">
        <v>2386</v>
      </c>
      <c r="B417" s="313">
        <f>IF(ISBLANK(GlobBerMedDisc!$E$22),"",GlobBerMedDisc!$E$22)</f>
        <v>0</v>
      </c>
      <c r="C417" s="313">
        <v>0</v>
      </c>
    </row>
    <row r="418" spans="1:3" x14ac:dyDescent="0.2">
      <c r="A418" s="311" t="s">
        <v>2387</v>
      </c>
      <c r="B418" s="313">
        <f>IF(ISBLANK(GlobBerMedDisc!$E$23),"",GlobBerMedDisc!$E$23)</f>
        <v>0</v>
      </c>
      <c r="C418" s="313">
        <v>0</v>
      </c>
    </row>
    <row r="419" spans="1:3" x14ac:dyDescent="0.2">
      <c r="A419" s="311" t="s">
        <v>2388</v>
      </c>
      <c r="B419" s="313">
        <f>IF(ISBLANK(GlobBerMedDisc!$E$24),"",GlobBerMedDisc!$E$24)</f>
        <v>0</v>
      </c>
      <c r="C419" s="313">
        <v>0</v>
      </c>
    </row>
    <row r="420" spans="1:3" x14ac:dyDescent="0.2">
      <c r="A420" s="311" t="s">
        <v>2389</v>
      </c>
      <c r="B420" s="313">
        <f>IF(ISBLANK(GlobBerMedDisc!$E$25),"",GlobBerMedDisc!$E$25)</f>
        <v>0</v>
      </c>
      <c r="C420" s="313">
        <v>0</v>
      </c>
    </row>
    <row r="421" spans="1:3" x14ac:dyDescent="0.2">
      <c r="A421" s="311" t="s">
        <v>2390</v>
      </c>
      <c r="B421" s="313">
        <f>IF(ISBLANK(GlobBerMedDisc!$E$26),"",GlobBerMedDisc!$E$26)</f>
        <v>0</v>
      </c>
      <c r="C421" s="313">
        <v>0</v>
      </c>
    </row>
    <row r="422" spans="1:3" x14ac:dyDescent="0.2">
      <c r="A422" s="311" t="s">
        <v>2391</v>
      </c>
      <c r="B422" s="313">
        <f>IF(ISBLANK(GlobBerMedDisc!$E$27),"",GlobBerMedDisc!$E$27)</f>
        <v>0</v>
      </c>
      <c r="C422" s="313">
        <v>0</v>
      </c>
    </row>
    <row r="423" spans="1:3" x14ac:dyDescent="0.2">
      <c r="A423" s="311" t="s">
        <v>2392</v>
      </c>
      <c r="B423" s="313">
        <f>IF(ISBLANK(GlobBerMedDisc!$E$28),"",GlobBerMedDisc!$E$28)</f>
        <v>0</v>
      </c>
      <c r="C423" s="313">
        <v>0</v>
      </c>
    </row>
    <row r="424" spans="1:3" x14ac:dyDescent="0.2">
      <c r="A424" s="311" t="s">
        <v>2393</v>
      </c>
      <c r="B424" s="313">
        <f>IF(ISBLANK(GlobBerMedDisc!$E$29),"",GlobBerMedDisc!$E$29)</f>
        <v>0</v>
      </c>
      <c r="C424" s="313">
        <v>0</v>
      </c>
    </row>
    <row r="425" spans="1:3" x14ac:dyDescent="0.2">
      <c r="A425" s="311" t="s">
        <v>2394</v>
      </c>
      <c r="B425" s="313">
        <f>IF(ISBLANK(GlobBerMedDisc!$E$30),"",GlobBerMedDisc!$E$30)</f>
        <v>0</v>
      </c>
      <c r="C425" s="313">
        <v>0</v>
      </c>
    </row>
    <row r="426" spans="1:3" x14ac:dyDescent="0.2">
      <c r="A426" s="311" t="s">
        <v>2395</v>
      </c>
      <c r="B426" s="313">
        <f>IF(ISBLANK(GlobBerMedDisc!$E$31),"",GlobBerMedDisc!$E$31)</f>
        <v>0</v>
      </c>
      <c r="C426" s="313">
        <v>0</v>
      </c>
    </row>
    <row r="427" spans="1:3" x14ac:dyDescent="0.2">
      <c r="A427" s="311" t="s">
        <v>2396</v>
      </c>
      <c r="B427">
        <f>IF(ISBLANK(GlobBerMedDisc!$AI$2),"",GlobBerMedDisc!$AI$2)</f>
        <v>0</v>
      </c>
      <c r="C427" s="313">
        <v>0</v>
      </c>
    </row>
    <row r="428" spans="1:3" x14ac:dyDescent="0.2">
      <c r="A428" s="311" t="s">
        <v>2397</v>
      </c>
      <c r="B428">
        <f>IF(ISBLANK(GlobBerMedDisc!$AI$3),"",GlobBerMedDisc!$AI$3)</f>
        <v>0</v>
      </c>
      <c r="C428" s="313">
        <v>0</v>
      </c>
    </row>
    <row r="429" spans="1:3" x14ac:dyDescent="0.2">
      <c r="A429" s="311" t="s">
        <v>2398</v>
      </c>
      <c r="B429">
        <f>IF(ISBLANK(GlobBerMedDisc!$AI$4),"",GlobBerMedDisc!$AI$4)</f>
        <v>0</v>
      </c>
      <c r="C429" s="313">
        <v>0</v>
      </c>
    </row>
    <row r="430" spans="1:3" x14ac:dyDescent="0.2">
      <c r="A430" s="311" t="s">
        <v>2399</v>
      </c>
      <c r="B430">
        <f>IF(ISBLANK(GlobBerMedDisc!$AI$5),"",GlobBerMedDisc!$AI$5)</f>
        <v>0</v>
      </c>
      <c r="C430" s="313">
        <v>0</v>
      </c>
    </row>
    <row r="431" spans="1:3" x14ac:dyDescent="0.2">
      <c r="A431" s="311" t="s">
        <v>2400</v>
      </c>
      <c r="B431">
        <f>IF(ISBLANK(GlobBerMedDisc!$AI$6),"",GlobBerMedDisc!$AI$6)</f>
        <v>0</v>
      </c>
      <c r="C431" s="313">
        <v>0</v>
      </c>
    </row>
    <row r="432" spans="1:3" x14ac:dyDescent="0.2">
      <c r="A432" s="311" t="s">
        <v>2401</v>
      </c>
      <c r="B432">
        <f>IF(ISBLANK(GlobBerMedDisc!$AI$7),"",GlobBerMedDisc!$AI$7)</f>
        <v>0</v>
      </c>
      <c r="C432" s="313">
        <v>0</v>
      </c>
    </row>
    <row r="433" spans="1:3" x14ac:dyDescent="0.2">
      <c r="A433" s="311" t="s">
        <v>2402</v>
      </c>
      <c r="B433">
        <f>IF(ISBLANK(GlobBerMedDisc!$AI$8),"",GlobBerMedDisc!$AI$8)</f>
        <v>0</v>
      </c>
      <c r="C433" s="313">
        <v>0</v>
      </c>
    </row>
    <row r="434" spans="1:3" x14ac:dyDescent="0.2">
      <c r="A434" s="311" t="s">
        <v>2403</v>
      </c>
      <c r="B434">
        <f>IF(ISBLANK(GlobBerMedDisc!$AI$9),"",GlobBerMedDisc!$AI$9)</f>
        <v>0</v>
      </c>
      <c r="C434" s="313">
        <v>0</v>
      </c>
    </row>
    <row r="435" spans="1:3" x14ac:dyDescent="0.2">
      <c r="A435" s="311" t="s">
        <v>2404</v>
      </c>
      <c r="B435">
        <f>IF(ISBLANK(GlobBerMedDisc!$AI$10),"",GlobBerMedDisc!$AI$10)</f>
        <v>0</v>
      </c>
      <c r="C435" s="313">
        <v>0</v>
      </c>
    </row>
    <row r="436" spans="1:3" x14ac:dyDescent="0.2">
      <c r="A436" s="311" t="s">
        <v>2405</v>
      </c>
      <c r="B436">
        <f>IF(ISBLANK(GlobBerMedDisc!$AI$11),"",GlobBerMedDisc!$AI$11)</f>
        <v>0</v>
      </c>
      <c r="C436" s="313">
        <v>0</v>
      </c>
    </row>
    <row r="437" spans="1:3" x14ac:dyDescent="0.2">
      <c r="A437" s="311" t="s">
        <v>2406</v>
      </c>
      <c r="B437">
        <f>IF(ISBLANK(GlobBerMedDisc!$AI$12),"",GlobBerMedDisc!$AI$12)</f>
        <v>0</v>
      </c>
      <c r="C437" s="313">
        <v>0</v>
      </c>
    </row>
    <row r="438" spans="1:3" x14ac:dyDescent="0.2">
      <c r="A438" s="311" t="s">
        <v>2407</v>
      </c>
      <c r="B438">
        <f>IF(ISBLANK(GlobBerMedDisc!$AI$13),"",GlobBerMedDisc!$AI$13)</f>
        <v>0</v>
      </c>
      <c r="C438" s="313">
        <v>0</v>
      </c>
    </row>
    <row r="439" spans="1:3" x14ac:dyDescent="0.2">
      <c r="A439" s="311" t="s">
        <v>2408</v>
      </c>
      <c r="B439">
        <f>IF(ISBLANK(GlobBerMedDisc!$AI$14),"",GlobBerMedDisc!$AI$14)</f>
        <v>0</v>
      </c>
      <c r="C439" s="313">
        <v>0</v>
      </c>
    </row>
    <row r="440" spans="1:3" x14ac:dyDescent="0.2">
      <c r="A440" s="311" t="s">
        <v>2409</v>
      </c>
      <c r="B440">
        <f>IF(ISBLANK(GlobBerMedDisc!$AI$15),"",GlobBerMedDisc!$AI$15)</f>
        <v>0</v>
      </c>
      <c r="C440" s="313">
        <v>0</v>
      </c>
    </row>
    <row r="441" spans="1:3" x14ac:dyDescent="0.2">
      <c r="A441" s="311" t="s">
        <v>2410</v>
      </c>
      <c r="B441">
        <f>IF(ISBLANK(GlobBerMedDisc!$AI$16),"",GlobBerMedDisc!$AI$16)</f>
        <v>0</v>
      </c>
      <c r="C441" s="313">
        <v>0</v>
      </c>
    </row>
    <row r="442" spans="1:3" x14ac:dyDescent="0.2">
      <c r="A442" s="311" t="s">
        <v>2411</v>
      </c>
      <c r="B442">
        <f>IF(ISBLANK(GlobBerMedDisc!$AI$17),"",GlobBerMedDisc!$AI$17)</f>
        <v>0</v>
      </c>
      <c r="C442" s="313">
        <v>0</v>
      </c>
    </row>
    <row r="443" spans="1:3" x14ac:dyDescent="0.2">
      <c r="A443" s="311" t="s">
        <v>2412</v>
      </c>
      <c r="B443">
        <f>IF(ISBLANK(GlobBerMedDisc!$AI$18),"",GlobBerMedDisc!$AI$18)</f>
        <v>0</v>
      </c>
      <c r="C443" s="313">
        <v>0</v>
      </c>
    </row>
    <row r="444" spans="1:3" x14ac:dyDescent="0.2">
      <c r="A444" s="311" t="s">
        <v>2413</v>
      </c>
      <c r="B444">
        <f>IF(ISBLANK(GlobBerMedDisc!$AI$19),"",GlobBerMedDisc!$AI$19)</f>
        <v>0</v>
      </c>
      <c r="C444" s="313">
        <v>0</v>
      </c>
    </row>
    <row r="445" spans="1:3" x14ac:dyDescent="0.2">
      <c r="A445" s="311" t="s">
        <v>2414</v>
      </c>
      <c r="B445">
        <f>IF(ISBLANK(GlobBerMedDisc!$AI$20),"",GlobBerMedDisc!$AI$20)</f>
        <v>0</v>
      </c>
      <c r="C445" s="313">
        <v>0</v>
      </c>
    </row>
    <row r="446" spans="1:3" x14ac:dyDescent="0.2">
      <c r="A446" s="311" t="s">
        <v>2415</v>
      </c>
      <c r="B446">
        <f>IF(ISBLANK(GlobBerMedDisc!$AI$21),"",GlobBerMedDisc!$AI$21)</f>
        <v>0</v>
      </c>
      <c r="C446" s="313">
        <v>0</v>
      </c>
    </row>
    <row r="447" spans="1:3" x14ac:dyDescent="0.2">
      <c r="A447" s="311" t="s">
        <v>2416</v>
      </c>
      <c r="B447">
        <f>IF(ISBLANK(GlobBerMedDisc!$AI$22),"",GlobBerMedDisc!$AI$22)</f>
        <v>0</v>
      </c>
      <c r="C447" s="313">
        <v>0</v>
      </c>
    </row>
    <row r="448" spans="1:3" x14ac:dyDescent="0.2">
      <c r="A448" s="311" t="s">
        <v>2417</v>
      </c>
      <c r="B448">
        <f>IF(ISBLANK(GlobBerMedDisc!$AI$23),"",GlobBerMedDisc!$AI$23)</f>
        <v>0</v>
      </c>
      <c r="C448" s="313">
        <v>0</v>
      </c>
    </row>
    <row r="449" spans="1:6" x14ac:dyDescent="0.2">
      <c r="A449" s="311" t="s">
        <v>2418</v>
      </c>
      <c r="B449">
        <f>IF(ISBLANK(GlobBerMedDisc!$AI$24),"",GlobBerMedDisc!$AI$24)</f>
        <v>0</v>
      </c>
      <c r="C449" s="313">
        <v>0</v>
      </c>
    </row>
    <row r="450" spans="1:6" x14ac:dyDescent="0.2">
      <c r="A450" s="311" t="s">
        <v>2419</v>
      </c>
      <c r="B450">
        <f>IF(ISBLANK(GlobBerMedDisc!$AI$25),"",GlobBerMedDisc!$AI$25)</f>
        <v>0</v>
      </c>
      <c r="C450" s="313">
        <v>0</v>
      </c>
    </row>
    <row r="451" spans="1:6" x14ac:dyDescent="0.2">
      <c r="A451" s="311" t="s">
        <v>2420</v>
      </c>
      <c r="B451">
        <f>IF(ISBLANK(GlobBerMedDisc!$AI$26),"",GlobBerMedDisc!$AI$26)</f>
        <v>0</v>
      </c>
      <c r="C451" s="313">
        <v>0</v>
      </c>
    </row>
    <row r="452" spans="1:6" x14ac:dyDescent="0.2">
      <c r="A452" s="311" t="s">
        <v>2421</v>
      </c>
      <c r="B452">
        <f>IF(ISBLANK(GlobBerMedDisc!$AI$27),"",GlobBerMedDisc!$AI$27)</f>
        <v>0</v>
      </c>
      <c r="C452" s="313">
        <v>0</v>
      </c>
    </row>
    <row r="453" spans="1:6" x14ac:dyDescent="0.2">
      <c r="A453" s="311" t="s">
        <v>2422</v>
      </c>
      <c r="B453">
        <f>IF(ISBLANK(GlobBerMedDisc!$AI$28),"",GlobBerMedDisc!$AI$28)</f>
        <v>0</v>
      </c>
      <c r="C453" s="313">
        <v>0</v>
      </c>
    </row>
    <row r="454" spans="1:6" x14ac:dyDescent="0.2">
      <c r="A454" s="311" t="s">
        <v>2423</v>
      </c>
      <c r="B454">
        <f>IF(ISBLANK(GlobBerMedDisc!$AI$29),"",GlobBerMedDisc!$AI$29)</f>
        <v>0</v>
      </c>
      <c r="C454" s="313">
        <v>0</v>
      </c>
    </row>
    <row r="455" spans="1:6" x14ac:dyDescent="0.2">
      <c r="A455" s="311" t="s">
        <v>2424</v>
      </c>
      <c r="B455">
        <f>IF(ISBLANK(GlobBerMedDisc!$AI$30),"",GlobBerMedDisc!$AI$30)</f>
        <v>0</v>
      </c>
      <c r="C455" s="313">
        <v>0</v>
      </c>
    </row>
    <row r="456" spans="1:6" x14ac:dyDescent="0.2">
      <c r="A456" s="311" t="s">
        <v>2425</v>
      </c>
      <c r="B456">
        <f>IF(ISBLANK(GlobBerMedDisc!$AI$31),"",GlobBerMedDisc!$AI$31)</f>
        <v>0</v>
      </c>
      <c r="C456" s="313">
        <v>0</v>
      </c>
    </row>
    <row r="457" spans="1:6" x14ac:dyDescent="0.2">
      <c r="A457" s="311" t="s">
        <v>2426</v>
      </c>
      <c r="B457" t="str">
        <f>IF(ISBLANK(GlobBerMedDisc!$AJ$2),"",GlobBerMedDisc!$AJ$2)</f>
        <v/>
      </c>
      <c r="C457" s="130"/>
    </row>
    <row r="458" spans="1:6" x14ac:dyDescent="0.2">
      <c r="A458" s="311" t="s">
        <v>2427</v>
      </c>
      <c r="B458" t="str">
        <f>IF(ISBLANK(GlobBerMedDisc!$AJ$3),"",GlobBerMedDisc!$AJ$3)</f>
        <v/>
      </c>
      <c r="C458" s="130"/>
    </row>
    <row r="459" spans="1:6" x14ac:dyDescent="0.2">
      <c r="A459" s="311" t="s">
        <v>2428</v>
      </c>
      <c r="B459" t="str">
        <f>IF(ISBLANK(GlobBerMedDisc!$AJ$4),"",GlobBerMedDisc!$AJ$4)</f>
        <v/>
      </c>
      <c r="C459" s="130"/>
    </row>
    <row r="460" spans="1:6" x14ac:dyDescent="0.2">
      <c r="A460" s="311" t="s">
        <v>2429</v>
      </c>
      <c r="B460" t="str">
        <f>IF(ISBLANK(GlobBerMedDisc!$AJ$5),"",GlobBerMedDisc!$AJ$5)</f>
        <v/>
      </c>
      <c r="C460" s="130"/>
    </row>
    <row r="461" spans="1:6" x14ac:dyDescent="0.2">
      <c r="A461" s="311" t="s">
        <v>2430</v>
      </c>
      <c r="B461" t="str">
        <f>IF(ISBLANK(GlobBerMedDisc!$AJ$6),"",GlobBerMedDisc!$AJ$6)</f>
        <v/>
      </c>
      <c r="C461" s="130"/>
    </row>
    <row r="462" spans="1:6" x14ac:dyDescent="0.2">
      <c r="A462" s="311" t="s">
        <v>2431</v>
      </c>
      <c r="B462" t="str">
        <f>IF(ISBLANK(GlobBerMedDisc!$AJ$7),"",GlobBerMedDisc!$AJ$7)</f>
        <v/>
      </c>
      <c r="C462" s="130"/>
      <c r="F462" s="311"/>
    </row>
    <row r="463" spans="1:6" x14ac:dyDescent="0.2">
      <c r="A463" s="311" t="s">
        <v>2432</v>
      </c>
      <c r="B463" t="str">
        <f>IF(ISBLANK(GlobBerMedDisc!$AJ$8),"",GlobBerMedDisc!$AJ$8)</f>
        <v/>
      </c>
      <c r="C463" s="130"/>
    </row>
    <row r="464" spans="1:6" x14ac:dyDescent="0.2">
      <c r="A464" s="311" t="s">
        <v>2433</v>
      </c>
      <c r="B464" t="str">
        <f>IF(ISBLANK(GlobBerMedDisc!$AJ$9),"",GlobBerMedDisc!$AJ$9)</f>
        <v/>
      </c>
      <c r="C464" s="130"/>
    </row>
    <row r="465" spans="1:6" x14ac:dyDescent="0.2">
      <c r="A465" s="311" t="s">
        <v>2434</v>
      </c>
      <c r="B465" t="str">
        <f>IF(ISBLANK(GlobBerMedDisc!$AJ$10),"",GlobBerMedDisc!$AJ$10)</f>
        <v/>
      </c>
      <c r="C465" s="130"/>
    </row>
    <row r="466" spans="1:6" x14ac:dyDescent="0.2">
      <c r="A466" s="311" t="s">
        <v>2435</v>
      </c>
      <c r="B466" t="str">
        <f>IF(ISBLANK(GlobBerMedDisc!$AJ$11),"",GlobBerMedDisc!$AJ$11)</f>
        <v/>
      </c>
      <c r="C466" s="130"/>
    </row>
    <row r="467" spans="1:6" x14ac:dyDescent="0.2">
      <c r="A467" s="311" t="s">
        <v>2436</v>
      </c>
      <c r="B467" t="str">
        <f>IF(ISBLANK(GlobBerMedDisc!$AJ$12),"",GlobBerMedDisc!$AJ$12)</f>
        <v/>
      </c>
      <c r="C467" s="130"/>
      <c r="F467" s="311"/>
    </row>
    <row r="468" spans="1:6" x14ac:dyDescent="0.2">
      <c r="A468" s="311" t="s">
        <v>2437</v>
      </c>
      <c r="B468" t="str">
        <f>IF(ISBLANK(GlobBerMedDisc!$AJ$13),"",GlobBerMedDisc!$AJ$13)</f>
        <v/>
      </c>
      <c r="C468" s="130"/>
    </row>
    <row r="469" spans="1:6" x14ac:dyDescent="0.2">
      <c r="A469" s="311" t="s">
        <v>2438</v>
      </c>
      <c r="B469" t="str">
        <f>IF(ISBLANK(GlobBerMedDisc!$AJ$14),"",GlobBerMedDisc!$AJ$14)</f>
        <v/>
      </c>
      <c r="C469" s="130"/>
    </row>
    <row r="470" spans="1:6" x14ac:dyDescent="0.2">
      <c r="A470" s="311" t="s">
        <v>2439</v>
      </c>
      <c r="B470" t="str">
        <f>IF(ISBLANK(GlobBerMedDisc!$AJ$15),"",GlobBerMedDisc!$AJ$15)</f>
        <v/>
      </c>
      <c r="C470" s="130"/>
    </row>
    <row r="471" spans="1:6" x14ac:dyDescent="0.2">
      <c r="A471" s="311" t="s">
        <v>2440</v>
      </c>
      <c r="B471" t="str">
        <f>IF(ISBLANK(GlobBerMedDisc!$AJ$16),"",GlobBerMedDisc!$AJ$16)</f>
        <v/>
      </c>
      <c r="C471" s="130"/>
    </row>
    <row r="472" spans="1:6" x14ac:dyDescent="0.2">
      <c r="A472" s="311" t="s">
        <v>2441</v>
      </c>
      <c r="B472" t="str">
        <f>IF(ISBLANK(GlobBerMedDisc!$AJ$17),"",GlobBerMedDisc!$AJ$17)</f>
        <v/>
      </c>
      <c r="C472" s="130"/>
    </row>
    <row r="473" spans="1:6" x14ac:dyDescent="0.2">
      <c r="A473" s="311" t="s">
        <v>2442</v>
      </c>
      <c r="B473" t="str">
        <f>IF(ISBLANK(GlobBerMedDisc!$AJ$18),"",GlobBerMedDisc!$AJ$18)</f>
        <v/>
      </c>
      <c r="C473" s="130"/>
    </row>
    <row r="474" spans="1:6" x14ac:dyDescent="0.2">
      <c r="A474" s="311" t="s">
        <v>2443</v>
      </c>
      <c r="B474" t="str">
        <f>IF(ISBLANK(GlobBerMedDisc!$AJ$19),"",GlobBerMedDisc!$AJ$19)</f>
        <v/>
      </c>
      <c r="C474" s="130"/>
    </row>
    <row r="475" spans="1:6" x14ac:dyDescent="0.2">
      <c r="A475" s="311" t="s">
        <v>2444</v>
      </c>
      <c r="B475" t="str">
        <f>IF(ISBLANK(GlobBerMedDisc!$AJ$20),"",GlobBerMedDisc!$AJ$20)</f>
        <v/>
      </c>
      <c r="C475" s="130"/>
    </row>
    <row r="476" spans="1:6" x14ac:dyDescent="0.2">
      <c r="A476" s="311" t="s">
        <v>2445</v>
      </c>
      <c r="B476" t="str">
        <f>IF(ISBLANK(GlobBerMedDisc!$AJ$21),"",GlobBerMedDisc!$AJ$21)</f>
        <v/>
      </c>
      <c r="C476" s="130"/>
    </row>
    <row r="477" spans="1:6" x14ac:dyDescent="0.2">
      <c r="A477" s="311" t="s">
        <v>2446</v>
      </c>
      <c r="B477" t="str">
        <f>IF(ISBLANK(GlobBerMedDisc!$AJ$22),"",GlobBerMedDisc!$AJ$22)</f>
        <v/>
      </c>
      <c r="C477" s="130"/>
    </row>
    <row r="478" spans="1:6" x14ac:dyDescent="0.2">
      <c r="A478" s="311" t="s">
        <v>2447</v>
      </c>
      <c r="B478" t="str">
        <f>IF(ISBLANK(GlobBerMedDisc!$AJ$23),"",GlobBerMedDisc!$AJ$23)</f>
        <v/>
      </c>
      <c r="C478" s="130"/>
    </row>
    <row r="479" spans="1:6" x14ac:dyDescent="0.2">
      <c r="A479" s="311" t="s">
        <v>2448</v>
      </c>
      <c r="B479" t="str">
        <f>IF(ISBLANK(GlobBerMedDisc!$AJ$24),"",GlobBerMedDisc!$AJ$24)</f>
        <v/>
      </c>
      <c r="C479" s="130"/>
    </row>
    <row r="480" spans="1:6" x14ac:dyDescent="0.2">
      <c r="A480" s="311" t="s">
        <v>2449</v>
      </c>
      <c r="B480" t="str">
        <f>IF(ISBLANK(GlobBerMedDisc!$AJ$25),"",GlobBerMedDisc!$AJ$25)</f>
        <v/>
      </c>
      <c r="C480" s="130"/>
    </row>
    <row r="481" spans="1:6" x14ac:dyDescent="0.2">
      <c r="A481" s="311" t="s">
        <v>2450</v>
      </c>
      <c r="B481" t="str">
        <f>IF(ISBLANK(GlobBerMedDisc!$AJ$26),"",GlobBerMedDisc!$AJ$26)</f>
        <v/>
      </c>
      <c r="C481" s="130"/>
    </row>
    <row r="482" spans="1:6" x14ac:dyDescent="0.2">
      <c r="A482" s="311" t="s">
        <v>2451</v>
      </c>
      <c r="B482" t="str">
        <f>IF(ISBLANK(GlobBerMedDisc!$AJ$27),"",GlobBerMedDisc!$AJ$27)</f>
        <v/>
      </c>
      <c r="C482" s="130"/>
    </row>
    <row r="483" spans="1:6" s="311" customFormat="1" x14ac:dyDescent="0.2">
      <c r="A483" s="311" t="s">
        <v>2452</v>
      </c>
      <c r="B483" t="str">
        <f>IF(ISBLANK(GlobBerMedDisc!$AJ$28),"",GlobBerMedDisc!$AJ$28)</f>
        <v/>
      </c>
      <c r="C483" s="130"/>
    </row>
    <row r="484" spans="1:6" x14ac:dyDescent="0.2">
      <c r="A484" s="311" t="s">
        <v>2453</v>
      </c>
      <c r="B484" t="str">
        <f>IF(ISBLANK(GlobBerMedDisc!$AJ$29),"",GlobBerMedDisc!$AJ$29)</f>
        <v/>
      </c>
      <c r="C484" s="130"/>
    </row>
    <row r="485" spans="1:6" x14ac:dyDescent="0.2">
      <c r="A485" s="311" t="s">
        <v>2454</v>
      </c>
      <c r="B485" t="str">
        <f>IF(ISBLANK(GlobBerMedDisc!$AJ$30),"",GlobBerMedDisc!$AJ$30)</f>
        <v/>
      </c>
      <c r="C485" s="130"/>
    </row>
    <row r="486" spans="1:6" x14ac:dyDescent="0.2">
      <c r="A486" s="311" t="s">
        <v>2455</v>
      </c>
      <c r="B486" t="str">
        <f>IF(ISBLANK(GlobBerMedDisc!$AJ$31),"",GlobBerMedDisc!$AJ$31)</f>
        <v/>
      </c>
      <c r="C486" s="130"/>
    </row>
    <row r="487" spans="1:6" x14ac:dyDescent="0.2">
      <c r="A487" s="311" t="s">
        <v>2456</v>
      </c>
      <c r="B487">
        <f>IF(ISBLANK(GlobBerMedDisc!$I$2),"",GlobBerMedDisc!$I$2)</f>
        <v>1</v>
      </c>
      <c r="C487">
        <v>1</v>
      </c>
    </row>
    <row r="488" spans="1:6" x14ac:dyDescent="0.2">
      <c r="A488" s="311" t="s">
        <v>2457</v>
      </c>
      <c r="B488">
        <f>IF(ISBLANK(GlobBerMedDisc!$I$3),"",GlobBerMedDisc!$I$3)</f>
        <v>1</v>
      </c>
      <c r="C488">
        <v>1</v>
      </c>
    </row>
    <row r="489" spans="1:6" x14ac:dyDescent="0.2">
      <c r="A489" s="311" t="s">
        <v>2458</v>
      </c>
      <c r="B489">
        <f>IF(ISBLANK(GlobBerMedDisc!$I$4),"",GlobBerMedDisc!$I$4)</f>
        <v>1</v>
      </c>
      <c r="C489">
        <v>1</v>
      </c>
    </row>
    <row r="490" spans="1:6" x14ac:dyDescent="0.2">
      <c r="A490" s="311" t="s">
        <v>2459</v>
      </c>
      <c r="B490">
        <f>IF(ISBLANK(GlobBerMedDisc!$I$5),"",GlobBerMedDisc!$I$5)</f>
        <v>1</v>
      </c>
      <c r="C490">
        <v>1</v>
      </c>
    </row>
    <row r="491" spans="1:6" x14ac:dyDescent="0.2">
      <c r="A491" s="311" t="s">
        <v>2460</v>
      </c>
      <c r="B491">
        <f>IF(ISBLANK(GlobBerMedDisc!$I$6),"",GlobBerMedDisc!$I$6)</f>
        <v>1</v>
      </c>
      <c r="C491">
        <v>1</v>
      </c>
    </row>
    <row r="492" spans="1:6" x14ac:dyDescent="0.2">
      <c r="A492" s="311" t="s">
        <v>2461</v>
      </c>
      <c r="B492">
        <f>IF(ISBLANK(GlobBerMedDisc!$I$7),"",GlobBerMedDisc!$I$7)</f>
        <v>1</v>
      </c>
      <c r="C492">
        <v>1</v>
      </c>
    </row>
    <row r="493" spans="1:6" x14ac:dyDescent="0.2">
      <c r="A493" s="311" t="s">
        <v>2462</v>
      </c>
      <c r="B493">
        <f>IF(ISBLANK(GlobBerMedDisc!$I$8),"",GlobBerMedDisc!$I$8)</f>
        <v>1</v>
      </c>
      <c r="C493">
        <v>1</v>
      </c>
    </row>
    <row r="494" spans="1:6" x14ac:dyDescent="0.2">
      <c r="A494" s="311" t="s">
        <v>2463</v>
      </c>
      <c r="B494">
        <f>IF(ISBLANK(GlobBerMedDisc!$I$9),"",GlobBerMedDisc!$I$9)</f>
        <v>1</v>
      </c>
      <c r="C494">
        <v>1</v>
      </c>
    </row>
    <row r="495" spans="1:6" x14ac:dyDescent="0.2">
      <c r="A495" s="311" t="s">
        <v>2464</v>
      </c>
      <c r="B495">
        <f>IF(ISBLANK(GlobBerMedDisc!$I$10),"",GlobBerMedDisc!$I$10)</f>
        <v>1</v>
      </c>
      <c r="C495">
        <v>1</v>
      </c>
      <c r="F495" s="311"/>
    </row>
    <row r="496" spans="1:6" x14ac:dyDescent="0.2">
      <c r="A496" s="311" t="s">
        <v>2465</v>
      </c>
      <c r="B496">
        <f>IF(ISBLANK(GlobBerMedDisc!$I$11),"",GlobBerMedDisc!$I$11)</f>
        <v>1</v>
      </c>
      <c r="C496">
        <v>1</v>
      </c>
    </row>
    <row r="497" spans="1:3" x14ac:dyDescent="0.2">
      <c r="A497" s="311" t="s">
        <v>2466</v>
      </c>
      <c r="B497">
        <f>IF(ISBLANK(GlobBerMedDisc!$I$12),"",GlobBerMedDisc!$I$12)</f>
        <v>1</v>
      </c>
      <c r="C497">
        <v>1</v>
      </c>
    </row>
    <row r="498" spans="1:3" x14ac:dyDescent="0.2">
      <c r="A498" s="311" t="s">
        <v>2467</v>
      </c>
      <c r="B498">
        <f>IF(ISBLANK(GlobBerMedDisc!$I$13),"",GlobBerMedDisc!$I$13)</f>
        <v>1</v>
      </c>
      <c r="C498">
        <v>1</v>
      </c>
    </row>
    <row r="499" spans="1:3" x14ac:dyDescent="0.2">
      <c r="A499" s="311" t="s">
        <v>2468</v>
      </c>
      <c r="B499">
        <f>IF(ISBLANK(GlobBerMedDisc!$I$14),"",GlobBerMedDisc!$I$14)</f>
        <v>1</v>
      </c>
      <c r="C499">
        <v>1</v>
      </c>
    </row>
    <row r="500" spans="1:3" x14ac:dyDescent="0.2">
      <c r="A500" s="311" t="s">
        <v>2469</v>
      </c>
      <c r="B500">
        <f>IF(ISBLANK(GlobBerMedDisc!$I$15),"",GlobBerMedDisc!$I$15)</f>
        <v>1</v>
      </c>
      <c r="C500">
        <v>1</v>
      </c>
    </row>
    <row r="501" spans="1:3" x14ac:dyDescent="0.2">
      <c r="A501" s="311" t="s">
        <v>2470</v>
      </c>
      <c r="B501">
        <f>IF(ISBLANK(GlobBerMedDisc!$I$16),"",GlobBerMedDisc!$I$16)</f>
        <v>1</v>
      </c>
      <c r="C501">
        <v>1</v>
      </c>
    </row>
    <row r="502" spans="1:3" x14ac:dyDescent="0.2">
      <c r="A502" s="311" t="s">
        <v>2471</v>
      </c>
      <c r="B502">
        <f>IF(ISBLANK(GlobBerMedDisc!$I$17),"",GlobBerMedDisc!$I$17)</f>
        <v>1</v>
      </c>
      <c r="C502">
        <v>1</v>
      </c>
    </row>
    <row r="503" spans="1:3" x14ac:dyDescent="0.2">
      <c r="A503" s="311" t="s">
        <v>2472</v>
      </c>
      <c r="B503">
        <f>IF(ISBLANK(GlobBerMedDisc!$I$18),"",GlobBerMedDisc!$I$18)</f>
        <v>1</v>
      </c>
      <c r="C503">
        <v>1</v>
      </c>
    </row>
    <row r="504" spans="1:3" x14ac:dyDescent="0.2">
      <c r="A504" s="311" t="s">
        <v>2473</v>
      </c>
      <c r="B504">
        <f>IF(ISBLANK(GlobBerMedDisc!$I$19),"",GlobBerMedDisc!$I$19)</f>
        <v>1</v>
      </c>
      <c r="C504">
        <v>1</v>
      </c>
    </row>
    <row r="505" spans="1:3" x14ac:dyDescent="0.2">
      <c r="A505" s="311" t="s">
        <v>2474</v>
      </c>
      <c r="B505">
        <f>IF(ISBLANK(GlobBerMedDisc!$I$20),"",GlobBerMedDisc!$I$20)</f>
        <v>1</v>
      </c>
      <c r="C505">
        <v>1</v>
      </c>
    </row>
    <row r="506" spans="1:3" x14ac:dyDescent="0.2">
      <c r="A506" s="311" t="s">
        <v>2475</v>
      </c>
      <c r="B506">
        <f>IF(ISBLANK(GlobBerMedDisc!$I$21),"",GlobBerMedDisc!$I$21)</f>
        <v>1</v>
      </c>
      <c r="C506">
        <v>1</v>
      </c>
    </row>
    <row r="507" spans="1:3" x14ac:dyDescent="0.2">
      <c r="A507" s="311" t="s">
        <v>2476</v>
      </c>
      <c r="B507">
        <f>IF(ISBLANK(GlobBerMedDisc!$I$22),"",GlobBerMedDisc!$I$22)</f>
        <v>1</v>
      </c>
      <c r="C507">
        <v>1</v>
      </c>
    </row>
    <row r="508" spans="1:3" x14ac:dyDescent="0.2">
      <c r="A508" s="311" t="s">
        <v>2477</v>
      </c>
      <c r="B508">
        <f>IF(ISBLANK(GlobBerMedDisc!$I$23),"",GlobBerMedDisc!$I$23)</f>
        <v>1</v>
      </c>
      <c r="C508">
        <v>1</v>
      </c>
    </row>
    <row r="509" spans="1:3" x14ac:dyDescent="0.2">
      <c r="A509" s="311" t="s">
        <v>2478</v>
      </c>
      <c r="B509">
        <f>IF(ISBLANK(GlobBerMedDisc!$I$24),"",GlobBerMedDisc!$I$24)</f>
        <v>1</v>
      </c>
      <c r="C509">
        <v>1</v>
      </c>
    </row>
    <row r="510" spans="1:3" x14ac:dyDescent="0.2">
      <c r="A510" s="311" t="s">
        <v>2479</v>
      </c>
      <c r="B510">
        <f>IF(ISBLANK(GlobBerMedDisc!$I$25),"",GlobBerMedDisc!$I$25)</f>
        <v>1</v>
      </c>
      <c r="C510">
        <v>1</v>
      </c>
    </row>
    <row r="511" spans="1:3" x14ac:dyDescent="0.2">
      <c r="A511" s="311" t="s">
        <v>2480</v>
      </c>
      <c r="B511">
        <f>IF(ISBLANK(GlobBerMedDisc!$I$26),"",GlobBerMedDisc!$I$26)</f>
        <v>1</v>
      </c>
      <c r="C511">
        <v>1</v>
      </c>
    </row>
    <row r="512" spans="1:3" x14ac:dyDescent="0.2">
      <c r="A512" s="311" t="s">
        <v>2481</v>
      </c>
      <c r="B512">
        <f>IF(ISBLANK(GlobBerMedDisc!$I$27),"",GlobBerMedDisc!$I$27)</f>
        <v>1</v>
      </c>
      <c r="C512">
        <v>1</v>
      </c>
    </row>
    <row r="513" spans="1:3" x14ac:dyDescent="0.2">
      <c r="A513" s="311" t="s">
        <v>2482</v>
      </c>
      <c r="B513">
        <f>IF(ISBLANK(GlobBerMedDisc!$I$28),"",GlobBerMedDisc!$I$28)</f>
        <v>1</v>
      </c>
      <c r="C513">
        <v>1</v>
      </c>
    </row>
    <row r="514" spans="1:3" x14ac:dyDescent="0.2">
      <c r="A514" s="311" t="s">
        <v>2483</v>
      </c>
      <c r="B514">
        <f>IF(ISBLANK(GlobBerMedDisc!$I$29),"",GlobBerMedDisc!$I$29)</f>
        <v>1</v>
      </c>
      <c r="C514">
        <v>1</v>
      </c>
    </row>
    <row r="515" spans="1:3" x14ac:dyDescent="0.2">
      <c r="A515" s="311" t="s">
        <v>2484</v>
      </c>
      <c r="B515">
        <f>IF(ISBLANK(GlobBerMedDisc!$I$30),"",GlobBerMedDisc!$I$30)</f>
        <v>1</v>
      </c>
      <c r="C515">
        <v>1</v>
      </c>
    </row>
    <row r="516" spans="1:3" x14ac:dyDescent="0.2">
      <c r="A516" s="311" t="s">
        <v>2485</v>
      </c>
      <c r="B516">
        <f>IF(ISBLANK(GlobBerMedDisc!$I$31),"",GlobBerMedDisc!$I$31)</f>
        <v>1</v>
      </c>
      <c r="C516">
        <v>1</v>
      </c>
    </row>
    <row r="517" spans="1:3" x14ac:dyDescent="0.2">
      <c r="A517" s="311" t="s">
        <v>2486</v>
      </c>
      <c r="B517" t="str">
        <f>IF(ISBLANK(GlobBerMedDisc!$L$2),"",GlobBerMedDisc!$L$2)</f>
        <v/>
      </c>
      <c r="C517" s="130"/>
    </row>
    <row r="518" spans="1:3" x14ac:dyDescent="0.2">
      <c r="A518" s="311" t="s">
        <v>2487</v>
      </c>
      <c r="B518" t="str">
        <f>IF(ISBLANK(GlobBerMedDisc!$L$3),"",GlobBerMedDisc!$L$3)</f>
        <v/>
      </c>
      <c r="C518" s="130"/>
    </row>
    <row r="519" spans="1:3" x14ac:dyDescent="0.2">
      <c r="A519" s="311" t="s">
        <v>2488</v>
      </c>
      <c r="B519" t="str">
        <f>IF(ISBLANK(GlobBerMedDisc!$L$4),"",GlobBerMedDisc!$L$4)</f>
        <v/>
      </c>
      <c r="C519" s="130"/>
    </row>
    <row r="520" spans="1:3" x14ac:dyDescent="0.2">
      <c r="A520" s="311" t="s">
        <v>2489</v>
      </c>
      <c r="B520" t="str">
        <f>IF(ISBLANK(GlobBerMedDisc!$L$5),"",GlobBerMedDisc!$L$5)</f>
        <v/>
      </c>
      <c r="C520" s="130"/>
    </row>
    <row r="521" spans="1:3" x14ac:dyDescent="0.2">
      <c r="A521" s="311" t="s">
        <v>2490</v>
      </c>
      <c r="B521" t="str">
        <f>IF(ISBLANK(GlobBerMedDisc!$L$6),"",GlobBerMedDisc!$L$6)</f>
        <v/>
      </c>
      <c r="C521" s="130"/>
    </row>
    <row r="522" spans="1:3" x14ac:dyDescent="0.2">
      <c r="A522" s="311" t="s">
        <v>2491</v>
      </c>
      <c r="B522" t="str">
        <f>IF(ISBLANK(GlobBerMedDisc!$L$7),"",GlobBerMedDisc!$L$7)</f>
        <v/>
      </c>
      <c r="C522" s="130"/>
    </row>
    <row r="523" spans="1:3" x14ac:dyDescent="0.2">
      <c r="A523" s="311" t="s">
        <v>2492</v>
      </c>
      <c r="B523" t="str">
        <f>IF(ISBLANK(GlobBerMedDisc!$L$8),"",GlobBerMedDisc!$L$8)</f>
        <v/>
      </c>
      <c r="C523" s="130"/>
    </row>
    <row r="524" spans="1:3" x14ac:dyDescent="0.2">
      <c r="A524" s="311" t="s">
        <v>2493</v>
      </c>
      <c r="B524" t="str">
        <f>IF(ISBLANK(GlobBerMedDisc!$L$9),"",GlobBerMedDisc!$L$9)</f>
        <v/>
      </c>
      <c r="C524" s="130"/>
    </row>
    <row r="525" spans="1:3" x14ac:dyDescent="0.2">
      <c r="A525" s="311" t="s">
        <v>2494</v>
      </c>
      <c r="B525" t="str">
        <f>IF(ISBLANK(GlobBerMedDisc!$L$10),"",GlobBerMedDisc!$L$10)</f>
        <v/>
      </c>
      <c r="C525" s="130"/>
    </row>
    <row r="526" spans="1:3" x14ac:dyDescent="0.2">
      <c r="A526" s="311" t="s">
        <v>2495</v>
      </c>
      <c r="B526" t="str">
        <f>IF(ISBLANK(GlobBerMedDisc!$L$11),"",GlobBerMedDisc!$L$11)</f>
        <v/>
      </c>
      <c r="C526" s="130"/>
    </row>
    <row r="527" spans="1:3" x14ac:dyDescent="0.2">
      <c r="A527" s="311" t="s">
        <v>2496</v>
      </c>
      <c r="B527" t="str">
        <f>IF(ISBLANK(GlobBerMedDisc!$L$12),"",GlobBerMedDisc!$L$12)</f>
        <v/>
      </c>
      <c r="C527" s="130"/>
    </row>
    <row r="528" spans="1:3" x14ac:dyDescent="0.2">
      <c r="A528" s="311" t="s">
        <v>2497</v>
      </c>
      <c r="B528" t="str">
        <f>IF(ISBLANK(GlobBerMedDisc!$L$13),"",GlobBerMedDisc!$L$13)</f>
        <v/>
      </c>
      <c r="C528" s="130"/>
    </row>
    <row r="529" spans="1:3" x14ac:dyDescent="0.2">
      <c r="A529" s="311" t="s">
        <v>2498</v>
      </c>
      <c r="B529" t="str">
        <f>IF(ISBLANK(GlobBerMedDisc!$L$14),"",GlobBerMedDisc!$L$14)</f>
        <v/>
      </c>
      <c r="C529" s="130"/>
    </row>
    <row r="530" spans="1:3" x14ac:dyDescent="0.2">
      <c r="A530" s="311" t="s">
        <v>2499</v>
      </c>
      <c r="B530" t="str">
        <f>IF(ISBLANK(GlobBerMedDisc!$L$15),"",GlobBerMedDisc!$L$15)</f>
        <v/>
      </c>
      <c r="C530" s="130"/>
    </row>
    <row r="531" spans="1:3" x14ac:dyDescent="0.2">
      <c r="A531" s="311" t="s">
        <v>2500</v>
      </c>
      <c r="B531" t="str">
        <f>IF(ISBLANK(GlobBerMedDisc!$L$16),"",GlobBerMedDisc!$L$16)</f>
        <v/>
      </c>
      <c r="C531" s="130"/>
    </row>
    <row r="532" spans="1:3" x14ac:dyDescent="0.2">
      <c r="A532" s="311" t="s">
        <v>2501</v>
      </c>
      <c r="B532" t="str">
        <f>IF(ISBLANK(GlobBerMedDisc!$L$17),"",GlobBerMedDisc!$L$17)</f>
        <v/>
      </c>
      <c r="C532" s="130"/>
    </row>
    <row r="533" spans="1:3" x14ac:dyDescent="0.2">
      <c r="A533" s="311" t="s">
        <v>2502</v>
      </c>
      <c r="B533" t="str">
        <f>IF(ISBLANK(GlobBerMedDisc!$L$18),"",GlobBerMedDisc!$L$18)</f>
        <v/>
      </c>
      <c r="C533" s="130"/>
    </row>
    <row r="534" spans="1:3" x14ac:dyDescent="0.2">
      <c r="A534" s="311" t="s">
        <v>2503</v>
      </c>
      <c r="B534" t="str">
        <f>IF(ISBLANK(GlobBerMedDisc!$L$19),"",GlobBerMedDisc!$L$19)</f>
        <v/>
      </c>
      <c r="C534" s="130"/>
    </row>
    <row r="535" spans="1:3" x14ac:dyDescent="0.2">
      <c r="A535" s="311" t="s">
        <v>2504</v>
      </c>
      <c r="B535" t="str">
        <f>IF(ISBLANK(GlobBerMedDisc!$L$20),"",GlobBerMedDisc!$L$20)</f>
        <v/>
      </c>
      <c r="C535" s="130"/>
    </row>
    <row r="536" spans="1:3" x14ac:dyDescent="0.2">
      <c r="A536" s="311" t="s">
        <v>2505</v>
      </c>
      <c r="B536" t="str">
        <f>IF(ISBLANK(GlobBerMedDisc!$L$21),"",GlobBerMedDisc!$L$21)</f>
        <v/>
      </c>
      <c r="C536" s="130"/>
    </row>
    <row r="537" spans="1:3" x14ac:dyDescent="0.2">
      <c r="A537" s="311" t="s">
        <v>2506</v>
      </c>
      <c r="B537" t="str">
        <f>IF(ISBLANK(GlobBerMedDisc!$L$22),"",GlobBerMedDisc!$L$22)</f>
        <v/>
      </c>
      <c r="C537" s="130"/>
    </row>
    <row r="538" spans="1:3" x14ac:dyDescent="0.2">
      <c r="A538" s="311" t="s">
        <v>2507</v>
      </c>
      <c r="B538" t="str">
        <f>IF(ISBLANK(GlobBerMedDisc!$L$23),"",GlobBerMedDisc!$L$23)</f>
        <v/>
      </c>
      <c r="C538" s="130"/>
    </row>
    <row r="539" spans="1:3" x14ac:dyDescent="0.2">
      <c r="A539" s="311" t="s">
        <v>2508</v>
      </c>
      <c r="B539" t="str">
        <f>IF(ISBLANK(GlobBerMedDisc!$L$24),"",GlobBerMedDisc!$L$24)</f>
        <v/>
      </c>
      <c r="C539" s="130"/>
    </row>
    <row r="540" spans="1:3" x14ac:dyDescent="0.2">
      <c r="A540" s="311" t="s">
        <v>2509</v>
      </c>
      <c r="B540" t="str">
        <f>IF(ISBLANK(GlobBerMedDisc!$L$25),"",GlobBerMedDisc!$L$25)</f>
        <v/>
      </c>
      <c r="C540" s="130"/>
    </row>
    <row r="541" spans="1:3" x14ac:dyDescent="0.2">
      <c r="A541" s="311" t="s">
        <v>2510</v>
      </c>
      <c r="B541" t="str">
        <f>IF(ISBLANK(GlobBerMedDisc!$L$26),"",GlobBerMedDisc!$L$26)</f>
        <v/>
      </c>
      <c r="C541" s="130"/>
    </row>
    <row r="542" spans="1:3" x14ac:dyDescent="0.2">
      <c r="A542" s="311" t="s">
        <v>2511</v>
      </c>
      <c r="B542" t="str">
        <f>IF(ISBLANK(GlobBerMedDisc!$L$27),"",GlobBerMedDisc!$L$27)</f>
        <v/>
      </c>
      <c r="C542" s="130"/>
    </row>
    <row r="543" spans="1:3" x14ac:dyDescent="0.2">
      <c r="A543" s="311" t="s">
        <v>2512</v>
      </c>
      <c r="B543" t="str">
        <f>IF(ISBLANK(GlobBerMedDisc!$L$28),"",GlobBerMedDisc!$L$28)</f>
        <v/>
      </c>
      <c r="C543" s="130"/>
    </row>
    <row r="544" spans="1:3" x14ac:dyDescent="0.2">
      <c r="A544" s="311" t="s">
        <v>2513</v>
      </c>
      <c r="B544" t="str">
        <f>IF(ISBLANK(GlobBerMedDisc!$L$29),"",GlobBerMedDisc!$L$29)</f>
        <v/>
      </c>
      <c r="C544" s="130"/>
    </row>
    <row r="545" spans="1:3" x14ac:dyDescent="0.2">
      <c r="A545" s="311" t="s">
        <v>2514</v>
      </c>
      <c r="B545" t="str">
        <f>IF(ISBLANK(GlobBerMedDisc!$L$30),"",GlobBerMedDisc!$L$30)</f>
        <v/>
      </c>
      <c r="C545" s="130"/>
    </row>
    <row r="546" spans="1:3" x14ac:dyDescent="0.2">
      <c r="A546" s="311" t="s">
        <v>2515</v>
      </c>
      <c r="B546" t="str">
        <f>IF(ISBLANK(GlobBerMedDisc!$L$31),"",GlobBerMedDisc!$L$31)</f>
        <v/>
      </c>
      <c r="C546" s="130"/>
    </row>
    <row r="547" spans="1:3" s="311" customFormat="1" x14ac:dyDescent="0.2">
      <c r="A547" s="311" t="s">
        <v>4281</v>
      </c>
      <c r="B547" s="311" t="str">
        <f>IF(ISBLANK(GlobBerMedDisc!$C$2),"",GlobBerMedDisc!$C$2)</f>
        <v/>
      </c>
      <c r="C547" s="130"/>
    </row>
    <row r="548" spans="1:3" s="311" customFormat="1" x14ac:dyDescent="0.2">
      <c r="A548" s="311" t="s">
        <v>4282</v>
      </c>
      <c r="B548" s="311" t="str">
        <f>IF(ISBLANK(GlobBerMedDisc!$C$3),"",GlobBerMedDisc!$C$3)</f>
        <v/>
      </c>
      <c r="C548" s="130"/>
    </row>
    <row r="549" spans="1:3" s="311" customFormat="1" x14ac:dyDescent="0.2">
      <c r="A549" s="311" t="s">
        <v>4283</v>
      </c>
      <c r="B549" s="311" t="str">
        <f>IF(ISBLANK(GlobBerMedDisc!$C$4),"",GlobBerMedDisc!$C$4)</f>
        <v/>
      </c>
      <c r="C549" s="130"/>
    </row>
    <row r="550" spans="1:3" s="311" customFormat="1" x14ac:dyDescent="0.2">
      <c r="A550" s="311" t="s">
        <v>4284</v>
      </c>
      <c r="B550" s="311" t="str">
        <f>IF(ISBLANK(GlobBerMedDisc!$C$5),"",GlobBerMedDisc!$C$5)</f>
        <v/>
      </c>
      <c r="C550" s="130"/>
    </row>
    <row r="551" spans="1:3" s="311" customFormat="1" x14ac:dyDescent="0.2">
      <c r="A551" s="311" t="s">
        <v>4285</v>
      </c>
      <c r="B551" s="311" t="str">
        <f>IF(ISBLANK(GlobBerMedDisc!$C$6),"",GlobBerMedDisc!$C$6)</f>
        <v/>
      </c>
      <c r="C551" s="130"/>
    </row>
    <row r="552" spans="1:3" s="311" customFormat="1" x14ac:dyDescent="0.2">
      <c r="A552" s="311" t="s">
        <v>4286</v>
      </c>
      <c r="B552" s="311" t="str">
        <f>IF(ISBLANK(GlobBerMedDisc!$C$7),"",GlobBerMedDisc!$C$7)</f>
        <v/>
      </c>
      <c r="C552" s="130"/>
    </row>
    <row r="553" spans="1:3" s="311" customFormat="1" x14ac:dyDescent="0.2">
      <c r="A553" s="311" t="s">
        <v>4287</v>
      </c>
      <c r="B553" s="311" t="str">
        <f>IF(ISBLANK(GlobBerMedDisc!$C$8),"",GlobBerMedDisc!$C$8)</f>
        <v/>
      </c>
      <c r="C553" s="130"/>
    </row>
    <row r="554" spans="1:3" s="311" customFormat="1" x14ac:dyDescent="0.2">
      <c r="A554" s="311" t="s">
        <v>4288</v>
      </c>
      <c r="B554" s="311" t="str">
        <f>IF(ISBLANK(GlobBerMedDisc!$C$9),"",GlobBerMedDisc!$C$9)</f>
        <v/>
      </c>
      <c r="C554" s="130"/>
    </row>
    <row r="555" spans="1:3" s="311" customFormat="1" x14ac:dyDescent="0.2">
      <c r="A555" s="311" t="s">
        <v>4289</v>
      </c>
      <c r="B555" s="311" t="str">
        <f>IF(ISBLANK(GlobBerMedDisc!$C$10),"",GlobBerMedDisc!$C$10)</f>
        <v/>
      </c>
      <c r="C555" s="130"/>
    </row>
    <row r="556" spans="1:3" s="311" customFormat="1" x14ac:dyDescent="0.2">
      <c r="A556" s="311" t="s">
        <v>4290</v>
      </c>
      <c r="B556" s="311" t="str">
        <f>IF(ISBLANK(GlobBerMedDisc!$C$11),"",GlobBerMedDisc!$C$11)</f>
        <v/>
      </c>
      <c r="C556" s="130"/>
    </row>
    <row r="557" spans="1:3" s="311" customFormat="1" x14ac:dyDescent="0.2">
      <c r="A557" s="311" t="s">
        <v>4291</v>
      </c>
      <c r="B557" s="311" t="str">
        <f>IF(ISBLANK(GlobBerMedDisc!$C$12),"",GlobBerMedDisc!$C$12)</f>
        <v/>
      </c>
      <c r="C557" s="130"/>
    </row>
    <row r="558" spans="1:3" s="311" customFormat="1" x14ac:dyDescent="0.2">
      <c r="A558" s="311" t="s">
        <v>4292</v>
      </c>
      <c r="B558" s="311" t="str">
        <f>IF(ISBLANK(GlobBerMedDisc!$C$13),"",GlobBerMedDisc!$C$13)</f>
        <v/>
      </c>
      <c r="C558" s="130"/>
    </row>
    <row r="559" spans="1:3" s="311" customFormat="1" x14ac:dyDescent="0.2">
      <c r="A559" s="311" t="s">
        <v>4293</v>
      </c>
      <c r="B559" s="311" t="str">
        <f>IF(ISBLANK(GlobBerMedDisc!$C$14),"",GlobBerMedDisc!$C$14)</f>
        <v/>
      </c>
      <c r="C559" s="130"/>
    </row>
    <row r="560" spans="1:3" s="311" customFormat="1" x14ac:dyDescent="0.2">
      <c r="A560" s="311" t="s">
        <v>4294</v>
      </c>
      <c r="B560" s="311" t="str">
        <f>IF(ISBLANK(GlobBerMedDisc!$C$15),"",GlobBerMedDisc!$C$15)</f>
        <v/>
      </c>
      <c r="C560" s="130"/>
    </row>
    <row r="561" spans="1:3" s="311" customFormat="1" x14ac:dyDescent="0.2">
      <c r="A561" s="311" t="s">
        <v>4295</v>
      </c>
      <c r="B561" s="311" t="str">
        <f>IF(ISBLANK(GlobBerMedDisc!$C$16),"",GlobBerMedDisc!$C$16)</f>
        <v/>
      </c>
      <c r="C561" s="130"/>
    </row>
    <row r="562" spans="1:3" s="311" customFormat="1" x14ac:dyDescent="0.2">
      <c r="A562" s="311" t="s">
        <v>4296</v>
      </c>
      <c r="B562" s="311" t="str">
        <f>IF(ISBLANK(GlobBerMedDisc!$C$17),"",GlobBerMedDisc!$C$17)</f>
        <v/>
      </c>
      <c r="C562" s="130"/>
    </row>
    <row r="563" spans="1:3" s="311" customFormat="1" x14ac:dyDescent="0.2">
      <c r="A563" s="311" t="s">
        <v>4297</v>
      </c>
      <c r="B563" s="311" t="str">
        <f>IF(ISBLANK(GlobBerMedDisc!$C$18),"",GlobBerMedDisc!$C$18)</f>
        <v/>
      </c>
      <c r="C563" s="130"/>
    </row>
    <row r="564" spans="1:3" s="311" customFormat="1" x14ac:dyDescent="0.2">
      <c r="A564" s="311" t="s">
        <v>4298</v>
      </c>
      <c r="B564" s="311" t="str">
        <f>IF(ISBLANK(GlobBerMedDisc!$C$19),"",GlobBerMedDisc!$C$19)</f>
        <v/>
      </c>
      <c r="C564" s="130"/>
    </row>
    <row r="565" spans="1:3" s="311" customFormat="1" x14ac:dyDescent="0.2">
      <c r="A565" s="311" t="s">
        <v>4299</v>
      </c>
      <c r="B565" s="311" t="str">
        <f>IF(ISBLANK(GlobBerMedDisc!$C$20),"",GlobBerMedDisc!$C$20)</f>
        <v/>
      </c>
      <c r="C565" s="130"/>
    </row>
    <row r="566" spans="1:3" s="311" customFormat="1" x14ac:dyDescent="0.2">
      <c r="A566" s="311" t="s">
        <v>4300</v>
      </c>
      <c r="B566" s="311" t="str">
        <f>IF(ISBLANK(GlobBerMedDisc!$C$21),"",GlobBerMedDisc!$C$21)</f>
        <v/>
      </c>
      <c r="C566" s="130"/>
    </row>
    <row r="567" spans="1:3" s="311" customFormat="1" x14ac:dyDescent="0.2">
      <c r="A567" s="311" t="s">
        <v>4301</v>
      </c>
      <c r="B567" s="311" t="str">
        <f>IF(ISBLANK(GlobBerMedDisc!$C$22),"",GlobBerMedDisc!$C$22)</f>
        <v/>
      </c>
      <c r="C567" s="130"/>
    </row>
    <row r="568" spans="1:3" s="311" customFormat="1" x14ac:dyDescent="0.2">
      <c r="A568" s="311" t="s">
        <v>4302</v>
      </c>
      <c r="B568" s="311" t="str">
        <f>IF(ISBLANK(GlobBerMedDisc!$C$23),"",GlobBerMedDisc!$C$23)</f>
        <v/>
      </c>
      <c r="C568" s="130"/>
    </row>
    <row r="569" spans="1:3" s="311" customFormat="1" x14ac:dyDescent="0.2">
      <c r="A569" s="311" t="s">
        <v>4303</v>
      </c>
      <c r="B569" s="311" t="str">
        <f>IF(ISBLANK(GlobBerMedDisc!$C$24),"",GlobBerMedDisc!$C$24)</f>
        <v/>
      </c>
      <c r="C569" s="130"/>
    </row>
    <row r="570" spans="1:3" s="311" customFormat="1" x14ac:dyDescent="0.2">
      <c r="A570" s="311" t="s">
        <v>4304</v>
      </c>
      <c r="B570" s="311" t="str">
        <f>IF(ISBLANK(GlobBerMedDisc!$C$25),"",GlobBerMedDisc!$C$25)</f>
        <v/>
      </c>
      <c r="C570" s="130"/>
    </row>
    <row r="571" spans="1:3" s="311" customFormat="1" x14ac:dyDescent="0.2">
      <c r="A571" s="311" t="s">
        <v>4305</v>
      </c>
      <c r="B571" s="311" t="str">
        <f>IF(ISBLANK(GlobBerMedDisc!$C$26),"",GlobBerMedDisc!$C$26)</f>
        <v/>
      </c>
      <c r="C571" s="130"/>
    </row>
    <row r="572" spans="1:3" s="311" customFormat="1" x14ac:dyDescent="0.2">
      <c r="A572" s="311" t="s">
        <v>4306</v>
      </c>
      <c r="B572" s="311" t="str">
        <f>IF(ISBLANK(GlobBerMedDisc!$C$27),"",GlobBerMedDisc!$C$27)</f>
        <v/>
      </c>
      <c r="C572" s="130"/>
    </row>
    <row r="573" spans="1:3" s="311" customFormat="1" x14ac:dyDescent="0.2">
      <c r="A573" s="311" t="s">
        <v>4307</v>
      </c>
      <c r="B573" s="311" t="str">
        <f>IF(ISBLANK(GlobBerMedDisc!$C$28),"",GlobBerMedDisc!$C$28)</f>
        <v/>
      </c>
      <c r="C573" s="130"/>
    </row>
    <row r="574" spans="1:3" s="311" customFormat="1" x14ac:dyDescent="0.2">
      <c r="A574" s="311" t="s">
        <v>4308</v>
      </c>
      <c r="B574" s="311" t="str">
        <f>IF(ISBLANK(GlobBerMedDisc!$C$29),"",GlobBerMedDisc!$C$29)</f>
        <v/>
      </c>
      <c r="C574" s="130"/>
    </row>
    <row r="575" spans="1:3" s="311" customFormat="1" x14ac:dyDescent="0.2">
      <c r="A575" s="311" t="s">
        <v>4309</v>
      </c>
      <c r="B575" s="311" t="str">
        <f>IF(ISBLANK(GlobBerMedDisc!$C$30),"",GlobBerMedDisc!$C$30)</f>
        <v/>
      </c>
      <c r="C575" s="130"/>
    </row>
    <row r="576" spans="1:3" s="311" customFormat="1" x14ac:dyDescent="0.2">
      <c r="A576" s="311" t="s">
        <v>4310</v>
      </c>
      <c r="B576" s="311" t="str">
        <f>IF(ISBLANK(GlobBerMedDisc!$C$31),"",GlobBerMedDisc!$C$31)</f>
        <v/>
      </c>
      <c r="C576" s="130"/>
    </row>
    <row r="577" spans="1:3" s="311" customFormat="1" x14ac:dyDescent="0.2">
      <c r="A577" s="311" t="s">
        <v>5093</v>
      </c>
      <c r="C577" s="964">
        <v>0</v>
      </c>
    </row>
    <row r="578" spans="1:3" s="311" customFormat="1" x14ac:dyDescent="0.2">
      <c r="A578" s="311" t="s">
        <v>5095</v>
      </c>
      <c r="C578" s="964">
        <v>0</v>
      </c>
    </row>
    <row r="579" spans="1:3" s="311" customFormat="1" x14ac:dyDescent="0.2">
      <c r="A579" s="311" t="s">
        <v>5097</v>
      </c>
      <c r="C579" s="964">
        <v>0</v>
      </c>
    </row>
    <row r="580" spans="1:3" s="311" customFormat="1" x14ac:dyDescent="0.2">
      <c r="A580" s="311" t="s">
        <v>5099</v>
      </c>
      <c r="C580" s="964">
        <v>0</v>
      </c>
    </row>
    <row r="581" spans="1:3" s="311" customFormat="1" x14ac:dyDescent="0.2">
      <c r="A581" s="311" t="s">
        <v>5101</v>
      </c>
      <c r="C581" s="964">
        <v>0</v>
      </c>
    </row>
    <row r="582" spans="1:3" s="311" customFormat="1" x14ac:dyDescent="0.2">
      <c r="A582" s="311" t="s">
        <v>5103</v>
      </c>
      <c r="C582" s="964">
        <v>0</v>
      </c>
    </row>
    <row r="583" spans="1:3" s="311" customFormat="1" x14ac:dyDescent="0.2">
      <c r="A583" s="311" t="s">
        <v>5105</v>
      </c>
      <c r="C583" s="964">
        <v>0</v>
      </c>
    </row>
    <row r="584" spans="1:3" s="311" customFormat="1" x14ac:dyDescent="0.2">
      <c r="A584" s="311" t="s">
        <v>5107</v>
      </c>
      <c r="C584" s="964">
        <v>0</v>
      </c>
    </row>
    <row r="585" spans="1:3" s="311" customFormat="1" x14ac:dyDescent="0.2">
      <c r="A585" s="311" t="s">
        <v>5109</v>
      </c>
      <c r="C585" s="964">
        <v>0</v>
      </c>
    </row>
    <row r="586" spans="1:3" s="311" customFormat="1" x14ac:dyDescent="0.2">
      <c r="A586" s="311" t="s">
        <v>5111</v>
      </c>
      <c r="C586" s="964">
        <v>0</v>
      </c>
    </row>
    <row r="587" spans="1:3" s="311" customFormat="1" x14ac:dyDescent="0.2">
      <c r="A587" s="311" t="s">
        <v>5113</v>
      </c>
      <c r="C587" s="964">
        <v>0</v>
      </c>
    </row>
    <row r="588" spans="1:3" s="311" customFormat="1" x14ac:dyDescent="0.2">
      <c r="A588" s="311" t="s">
        <v>5115</v>
      </c>
      <c r="C588" s="964">
        <v>0</v>
      </c>
    </row>
    <row r="589" spans="1:3" x14ac:dyDescent="0.2">
      <c r="A589" s="311" t="s">
        <v>4707</v>
      </c>
      <c r="B589">
        <f>IF(ISBLANK(NeoDataInfB!$D$2),"",NeoDataInfB!$D$2)</f>
        <v>0</v>
      </c>
      <c r="C589" s="17">
        <v>0</v>
      </c>
    </row>
    <row r="590" spans="1:3" x14ac:dyDescent="0.2">
      <c r="A590" s="311" t="s">
        <v>4708</v>
      </c>
      <c r="B590">
        <f>IF(ISBLANK(NeoDataInfB!$D$3),"",NeoDataInfB!$D$3)</f>
        <v>1</v>
      </c>
      <c r="C590" s="311">
        <v>1</v>
      </c>
    </row>
    <row r="591" spans="1:3" x14ac:dyDescent="0.2">
      <c r="A591" s="311" t="s">
        <v>4709</v>
      </c>
      <c r="B591">
        <f>IF(ISBLANK(NeoDataInfB!$D$4),"",NeoDataInfB!$D$4)</f>
        <v>1</v>
      </c>
      <c r="C591" s="311">
        <v>1</v>
      </c>
    </row>
    <row r="592" spans="1:3" x14ac:dyDescent="0.2">
      <c r="A592" s="311" t="s">
        <v>4710</v>
      </c>
      <c r="B592">
        <f>IF(ISBLANK(NeoDataInfB!$D$5),"",NeoDataInfB!$D$5)</f>
        <v>1</v>
      </c>
      <c r="C592" s="311">
        <v>1</v>
      </c>
    </row>
    <row r="593" spans="1:6" x14ac:dyDescent="0.2">
      <c r="A593" s="311" t="s">
        <v>4711</v>
      </c>
      <c r="B593">
        <f>IF(ISBLANK(NeoDataInfB!$D$6),"",NeoDataInfB!$D$6)</f>
        <v>1</v>
      </c>
      <c r="C593" s="311">
        <v>1</v>
      </c>
    </row>
    <row r="594" spans="1:6" x14ac:dyDescent="0.2">
      <c r="A594" s="311" t="s">
        <v>4712</v>
      </c>
      <c r="B594">
        <f>IF(ISBLANK(NeoDataInfB!$D$7),"",NeoDataInfB!$D$7)</f>
        <v>1</v>
      </c>
      <c r="C594" s="311">
        <v>1</v>
      </c>
    </row>
    <row r="595" spans="1:6" x14ac:dyDescent="0.2">
      <c r="A595" s="311" t="s">
        <v>4713</v>
      </c>
      <c r="B595">
        <f>IF(ISBLANK(NeoDataInfB!$D$8),"",NeoDataInfB!$D$8)</f>
        <v>1</v>
      </c>
      <c r="C595" s="311">
        <v>1</v>
      </c>
    </row>
    <row r="596" spans="1:6" x14ac:dyDescent="0.2">
      <c r="A596" s="311" t="s">
        <v>4714</v>
      </c>
      <c r="B596">
        <f>IF(ISBLANK(NeoDataInfB!$D$9),"",NeoDataInfB!$D$9)</f>
        <v>1</v>
      </c>
      <c r="C596" s="311">
        <v>1</v>
      </c>
    </row>
    <row r="597" spans="1:6" x14ac:dyDescent="0.2">
      <c r="A597" s="311" t="s">
        <v>4715</v>
      </c>
      <c r="B597">
        <f>IF(ISBLANK(NeoDataInfB!$D$10),"",NeoDataInfB!$D$10)</f>
        <v>1</v>
      </c>
      <c r="C597" s="311">
        <v>1</v>
      </c>
    </row>
    <row r="598" spans="1:6" x14ac:dyDescent="0.2">
      <c r="A598" s="311" t="s">
        <v>4716</v>
      </c>
      <c r="B598">
        <f>IF(ISBLANK(NeoDataInfB!$D$11),"",NeoDataInfB!$D$11)</f>
        <v>1</v>
      </c>
      <c r="C598" s="311">
        <v>1</v>
      </c>
    </row>
    <row r="599" spans="1:6" x14ac:dyDescent="0.2">
      <c r="A599" s="311" t="s">
        <v>4717</v>
      </c>
      <c r="B599">
        <f>IF(ISBLANK(NeoDataInfB!$D$12),"",NeoDataInfB!$D$12)</f>
        <v>0</v>
      </c>
      <c r="C599" s="313">
        <v>0</v>
      </c>
      <c r="F599" s="311"/>
    </row>
    <row r="600" spans="1:6" x14ac:dyDescent="0.2">
      <c r="A600" s="311" t="s">
        <v>4718</v>
      </c>
      <c r="B600">
        <f>IF(ISBLANK(NeoDataInfB!$D$13),"",NeoDataInfB!$D$13)</f>
        <v>0</v>
      </c>
      <c r="C600" s="313">
        <v>0</v>
      </c>
    </row>
    <row r="601" spans="1:6" x14ac:dyDescent="0.2">
      <c r="A601" s="311" t="s">
        <v>4719</v>
      </c>
      <c r="B601" s="311">
        <f>IF(ISBLANK(NeoDataInfB!$D$14),"",NeoDataInfB!$D$14)</f>
        <v>0</v>
      </c>
      <c r="C601" s="313">
        <v>0</v>
      </c>
    </row>
    <row r="602" spans="1:6" x14ac:dyDescent="0.2">
      <c r="A602" s="311" t="s">
        <v>4720</v>
      </c>
      <c r="B602">
        <f>IF(ISBLANK(NeoDataInfB!$D$15),"",NeoDataInfB!$D$15)</f>
        <v>0</v>
      </c>
      <c r="C602" s="313">
        <v>0</v>
      </c>
    </row>
    <row r="603" spans="1:6" x14ac:dyDescent="0.2">
      <c r="A603" s="311" t="s">
        <v>4721</v>
      </c>
      <c r="B603">
        <f>IF(ISBLANK(NeoDataInfB!$D$16),"",NeoDataInfB!$D$16)</f>
        <v>0</v>
      </c>
      <c r="C603" s="313">
        <v>0</v>
      </c>
    </row>
    <row r="604" spans="1:6" x14ac:dyDescent="0.2">
      <c r="A604" s="311" t="s">
        <v>4722</v>
      </c>
      <c r="B604">
        <f>IF(ISBLANK(NeoDataInfB!$D$17),"",NeoDataInfB!$D$17)</f>
        <v>0</v>
      </c>
      <c r="C604" s="313">
        <v>0</v>
      </c>
    </row>
    <row r="605" spans="1:6" x14ac:dyDescent="0.2">
      <c r="A605" s="311" t="s">
        <v>4723</v>
      </c>
      <c r="B605">
        <f>IF(ISBLANK(NeoDataInfB!$D$18),"",NeoDataInfB!$D$18)</f>
        <v>0</v>
      </c>
      <c r="C605" s="313">
        <v>0</v>
      </c>
    </row>
    <row r="606" spans="1:6" x14ac:dyDescent="0.2">
      <c r="A606" s="311" t="s">
        <v>4724</v>
      </c>
      <c r="B606">
        <f>IF(ISBLANK(NeoDataInfB!$D$19),"",NeoDataInfB!$D$19)</f>
        <v>0</v>
      </c>
      <c r="C606" s="313">
        <v>0</v>
      </c>
    </row>
    <row r="607" spans="1:6" x14ac:dyDescent="0.2">
      <c r="A607" s="311" t="s">
        <v>4725</v>
      </c>
      <c r="B607">
        <f>IF(ISBLANK(NeoDataInfB!$D$20),"",NeoDataInfB!$D$20)</f>
        <v>0</v>
      </c>
      <c r="C607" s="313">
        <v>0</v>
      </c>
    </row>
    <row r="608" spans="1:6" x14ac:dyDescent="0.2">
      <c r="A608" s="311" t="s">
        <v>4726</v>
      </c>
      <c r="B608" t="str">
        <f>IF(ISBLANK(NeoDataInfB!$D$21),"",NeoDataInfB!$D$21)</f>
        <v/>
      </c>
      <c r="C608" s="130" t="s">
        <v>4336</v>
      </c>
    </row>
    <row r="609" spans="1:6" x14ac:dyDescent="0.2">
      <c r="A609" s="311" t="s">
        <v>4727</v>
      </c>
      <c r="B609" t="str">
        <f>IF(ISBLANK(NeoDataInfB!$D$22),"",NeoDataInfB!$D$22)</f>
        <v/>
      </c>
      <c r="C609" s="130" t="s">
        <v>4336</v>
      </c>
    </row>
    <row r="610" spans="1:6" x14ac:dyDescent="0.2">
      <c r="A610" s="311" t="s">
        <v>4728</v>
      </c>
      <c r="B610">
        <f>IF(ISBLANK(NeoDataInfB!$D$23),"",NeoDataInfB!$D$23)</f>
        <v>0</v>
      </c>
      <c r="C610" s="313">
        <v>0</v>
      </c>
    </row>
    <row r="611" spans="1:6" x14ac:dyDescent="0.2">
      <c r="A611" s="311" t="s">
        <v>4729</v>
      </c>
      <c r="B611">
        <f>IF(ISBLANK(NeoDataInfB!$D$24),"",NeoDataInfB!$D$24)</f>
        <v>0</v>
      </c>
      <c r="C611" s="313">
        <v>0</v>
      </c>
    </row>
    <row r="612" spans="1:6" x14ac:dyDescent="0.2">
      <c r="A612" s="311" t="s">
        <v>4730</v>
      </c>
      <c r="B612">
        <f>IF(ISBLANK(NeoDataInfB!$D$25),"",NeoDataInfB!$D$25)</f>
        <v>0</v>
      </c>
      <c r="C612" s="313">
        <v>0</v>
      </c>
      <c r="F612" s="311"/>
    </row>
    <row r="613" spans="1:6" x14ac:dyDescent="0.2">
      <c r="A613" s="311" t="s">
        <v>4731</v>
      </c>
      <c r="B613">
        <f>IF(ISBLANK(NeoDataInfB!$D$26),"",NeoDataInfB!$D$26)</f>
        <v>0</v>
      </c>
      <c r="C613" s="313">
        <v>0</v>
      </c>
    </row>
    <row r="614" spans="1:6" x14ac:dyDescent="0.2">
      <c r="A614" s="311" t="s">
        <v>4732</v>
      </c>
      <c r="B614">
        <f>IF(ISBLANK(NeoDataInfB!$D$27),"",NeoDataInfB!$D$27)</f>
        <v>0</v>
      </c>
      <c r="C614" s="313">
        <v>0</v>
      </c>
    </row>
    <row r="615" spans="1:6" x14ac:dyDescent="0.2">
      <c r="A615" s="311" t="s">
        <v>4733</v>
      </c>
      <c r="B615">
        <f>IF(ISBLANK(NeoDataInfB!$D$28),"",NeoDataInfB!$D$28)</f>
        <v>0</v>
      </c>
      <c r="C615" s="313">
        <v>0</v>
      </c>
    </row>
    <row r="616" spans="1:6" x14ac:dyDescent="0.2">
      <c r="A616" s="311" t="s">
        <v>4734</v>
      </c>
      <c r="B616">
        <f>IF(ISBLANK(NeoDataInfB!$D$29),"",NeoDataInfB!$D$29)</f>
        <v>0</v>
      </c>
      <c r="C616" s="313">
        <v>0</v>
      </c>
    </row>
    <row r="617" spans="1:6" x14ac:dyDescent="0.2">
      <c r="A617" s="311" t="s">
        <v>4735</v>
      </c>
      <c r="B617">
        <f>IF(ISBLANK(NeoDataInfB!$D$30),"",NeoDataInfB!$D$30)</f>
        <v>0</v>
      </c>
      <c r="C617" s="313">
        <v>0</v>
      </c>
    </row>
    <row r="618" spans="1:6" x14ac:dyDescent="0.2">
      <c r="A618" s="311" t="s">
        <v>4736</v>
      </c>
      <c r="B618">
        <f>IF(ISBLANK(NeoDataInfB!$D$31),"",NeoDataInfB!$D$31)</f>
        <v>0</v>
      </c>
      <c r="C618" s="313">
        <v>0</v>
      </c>
    </row>
    <row r="619" spans="1:6" x14ac:dyDescent="0.2">
      <c r="A619" s="311" t="s">
        <v>4737</v>
      </c>
      <c r="B619">
        <f>IF(ISBLANK(NeoDataInfB!$D$32),"",NeoDataInfB!$D$32)</f>
        <v>1</v>
      </c>
      <c r="C619" s="17">
        <v>1</v>
      </c>
    </row>
    <row r="620" spans="1:6" x14ac:dyDescent="0.2">
      <c r="A620" s="311" t="s">
        <v>4738</v>
      </c>
      <c r="B620">
        <f>IF(ISBLANK(NeoDataInfB!$D$33),"",NeoDataInfB!$D$33)</f>
        <v>1</v>
      </c>
      <c r="C620" s="17">
        <v>1</v>
      </c>
    </row>
    <row r="621" spans="1:6" x14ac:dyDescent="0.2">
      <c r="A621" s="311" t="s">
        <v>4739</v>
      </c>
      <c r="B621">
        <f>IF(ISBLANK(NeoDataInfB!$D$34),"",NeoDataInfB!$D$34)</f>
        <v>1</v>
      </c>
      <c r="C621" s="17">
        <v>1</v>
      </c>
    </row>
    <row r="622" spans="1:6" x14ac:dyDescent="0.2">
      <c r="A622" s="311" t="s">
        <v>4740</v>
      </c>
      <c r="B622">
        <f>IF(ISBLANK(NeoDataInfB!$D$35),"",NeoDataInfB!$D$35)</f>
        <v>1</v>
      </c>
      <c r="C622" s="17">
        <v>1</v>
      </c>
      <c r="F622" s="311"/>
    </row>
    <row r="623" spans="1:6" x14ac:dyDescent="0.2">
      <c r="A623" s="311" t="s">
        <v>4741</v>
      </c>
      <c r="B623">
        <f>IF(ISBLANK(NeoDataInfB!$D$36),"",NeoDataInfB!$D$36)</f>
        <v>1</v>
      </c>
      <c r="C623" s="17">
        <v>1</v>
      </c>
      <c r="F623" s="311"/>
    </row>
    <row r="624" spans="1:6" x14ac:dyDescent="0.2">
      <c r="A624" s="311" t="s">
        <v>4742</v>
      </c>
      <c r="B624">
        <f>IF(ISBLANK(NeoDataInfB!$D$37),"",NeoDataInfB!$D$37)</f>
        <v>1</v>
      </c>
      <c r="C624" s="17">
        <v>1</v>
      </c>
      <c r="F624" s="311"/>
    </row>
    <row r="625" spans="1:6" x14ac:dyDescent="0.2">
      <c r="A625" s="311" t="s">
        <v>4743</v>
      </c>
      <c r="B625">
        <f>IF(ISBLANK(NeoDataInfB!$D$38),"",NeoDataInfB!$D$38)</f>
        <v>1</v>
      </c>
      <c r="C625" s="17">
        <v>1</v>
      </c>
      <c r="F625" s="311"/>
    </row>
    <row r="626" spans="1:6" x14ac:dyDescent="0.2">
      <c r="A626" s="311" t="s">
        <v>4744</v>
      </c>
      <c r="B626">
        <f>IF(ISBLANK(NeoDataInfB!$D$39),"",NeoDataInfB!$D$39)</f>
        <v>1</v>
      </c>
      <c r="C626" s="17">
        <v>1</v>
      </c>
      <c r="F626" s="311"/>
    </row>
    <row r="627" spans="1:6" x14ac:dyDescent="0.2">
      <c r="A627" s="311" t="s">
        <v>4745</v>
      </c>
      <c r="B627">
        <f>IF(ISBLANK(NeoDataInfB!$D$40),"",NeoDataInfB!$D$40)</f>
        <v>1</v>
      </c>
      <c r="C627" s="17">
        <v>1</v>
      </c>
      <c r="F627" s="311"/>
    </row>
    <row r="628" spans="1:6" x14ac:dyDescent="0.2">
      <c r="A628" s="311" t="s">
        <v>4746</v>
      </c>
      <c r="B628">
        <f>IF(ISBLANK(NeoDataInfB!$D$41),"",NeoDataInfB!$D$41)</f>
        <v>0</v>
      </c>
      <c r="C628" s="17">
        <v>0</v>
      </c>
      <c r="F628" s="311"/>
    </row>
    <row r="629" spans="1:6" x14ac:dyDescent="0.2">
      <c r="A629" s="311" t="s">
        <v>4747</v>
      </c>
      <c r="B629">
        <f>IF(ISBLANK(NeoDataInfB!$D$42),"",NeoDataInfB!$D$42)</f>
        <v>0</v>
      </c>
      <c r="C629" s="17">
        <v>0</v>
      </c>
      <c r="F629" s="311"/>
    </row>
    <row r="630" spans="1:6" x14ac:dyDescent="0.2">
      <c r="A630" s="311" t="s">
        <v>4748</v>
      </c>
      <c r="B630">
        <f>IF(ISBLANK(NeoDataInfB!$D$43),"",NeoDataInfB!$D$43)</f>
        <v>0</v>
      </c>
      <c r="C630" s="17">
        <v>0</v>
      </c>
      <c r="F630" s="311"/>
    </row>
    <row r="631" spans="1:6" x14ac:dyDescent="0.2">
      <c r="A631" s="311" t="s">
        <v>4749</v>
      </c>
      <c r="B631">
        <f>IF(ISBLANK(NeoDataInfB!$D$44),"",NeoDataInfB!$D$44)</f>
        <v>0</v>
      </c>
      <c r="C631" s="313">
        <v>0</v>
      </c>
    </row>
    <row r="632" spans="1:6" x14ac:dyDescent="0.2">
      <c r="A632" s="311" t="s">
        <v>4750</v>
      </c>
      <c r="B632">
        <f>IF(ISBLANK(NeoDataInfB!$D$45),"",NeoDataInfB!$D$45)</f>
        <v>0</v>
      </c>
      <c r="C632" s="313">
        <v>0</v>
      </c>
    </row>
    <row r="633" spans="1:6" x14ac:dyDescent="0.2">
      <c r="A633" s="311" t="s">
        <v>4751</v>
      </c>
      <c r="B633">
        <f>IF(ISBLANK(NeoDataInfB!$D$46),"",NeoDataInfB!$D$46)</f>
        <v>0</v>
      </c>
      <c r="C633" s="313">
        <v>0</v>
      </c>
    </row>
    <row r="634" spans="1:6" x14ac:dyDescent="0.2">
      <c r="A634" s="311" t="s">
        <v>4752</v>
      </c>
      <c r="B634">
        <f>IF(ISBLANK(NeoDataInfB!$D$47),"",NeoDataInfB!$D$47)</f>
        <v>0</v>
      </c>
      <c r="C634" s="313">
        <v>0</v>
      </c>
    </row>
    <row r="635" spans="1:6" x14ac:dyDescent="0.2">
      <c r="A635" s="311" t="s">
        <v>4753</v>
      </c>
      <c r="B635">
        <f>IF(ISBLANK(NeoDataInfB!$D$48),"",NeoDataInfB!$D$48)</f>
        <v>0</v>
      </c>
      <c r="C635" s="313">
        <v>0</v>
      </c>
    </row>
    <row r="636" spans="1:6" x14ac:dyDescent="0.2">
      <c r="A636" s="311" t="s">
        <v>4754</v>
      </c>
      <c r="B636">
        <f>IF(ISBLANK(NeoDataInfB!$D$49),"",NeoDataInfB!$D$49)</f>
        <v>0</v>
      </c>
      <c r="C636" s="313">
        <v>0</v>
      </c>
    </row>
    <row r="637" spans="1:6" x14ac:dyDescent="0.2">
      <c r="A637" s="311" t="s">
        <v>4755</v>
      </c>
      <c r="B637">
        <f>IF(ISBLANK(NeoDataInfB!$D$50),"",NeoDataInfB!$D$50)</f>
        <v>0</v>
      </c>
      <c r="C637" s="313">
        <v>0</v>
      </c>
    </row>
    <row r="638" spans="1:6" x14ac:dyDescent="0.2">
      <c r="A638" s="311" t="s">
        <v>4756</v>
      </c>
      <c r="B638">
        <f>IF(ISBLANK(NeoDataInfB!$D$51),"",NeoDataInfB!$D$51)</f>
        <v>0</v>
      </c>
      <c r="C638" s="313">
        <v>0</v>
      </c>
    </row>
    <row r="639" spans="1:6" x14ac:dyDescent="0.2">
      <c r="A639" s="311" t="s">
        <v>4757</v>
      </c>
      <c r="B639" s="17">
        <f>IF(ISBLANK(NeoDataInfB!$D$52),"",NeoDataInfB!$D$52)</f>
        <v>0</v>
      </c>
      <c r="C639" s="313">
        <v>0</v>
      </c>
    </row>
    <row r="640" spans="1:6" x14ac:dyDescent="0.2">
      <c r="A640" s="311" t="s">
        <v>4758</v>
      </c>
      <c r="B640">
        <f>IF(ISBLANK(NeoDataInfB!$D$53),"",NeoDataInfB!$D$53)</f>
        <v>0</v>
      </c>
      <c r="C640" s="313">
        <v>0</v>
      </c>
    </row>
    <row r="641" spans="1:3" x14ac:dyDescent="0.2">
      <c r="A641" s="311" t="s">
        <v>4759</v>
      </c>
      <c r="B641">
        <f>IF(ISBLANK(NeoDataInfB!$D$54),"",NeoDataInfB!$D$54)</f>
        <v>0</v>
      </c>
      <c r="C641" s="313">
        <v>0</v>
      </c>
    </row>
    <row r="642" spans="1:3" x14ac:dyDescent="0.2">
      <c r="A642" s="311" t="s">
        <v>4760</v>
      </c>
      <c r="B642">
        <f>IF(ISBLANK(NeoDataInfB!$D$55),"",NeoDataInfB!$D$55)</f>
        <v>0</v>
      </c>
      <c r="C642" s="313">
        <v>0</v>
      </c>
    </row>
    <row r="643" spans="1:3" x14ac:dyDescent="0.2">
      <c r="A643" s="311" t="s">
        <v>4761</v>
      </c>
      <c r="B643">
        <f>IF(ISBLANK(NeoDataInfB!$D$56),"",NeoDataInfB!$D$56)</f>
        <v>0</v>
      </c>
      <c r="C643" s="17">
        <v>0</v>
      </c>
    </row>
    <row r="644" spans="1:3" x14ac:dyDescent="0.2">
      <c r="A644" s="311" t="s">
        <v>4762</v>
      </c>
      <c r="B644">
        <f>IF(ISBLANK(NeoDataInfB!$D$57),"",NeoDataInfB!$D$57)</f>
        <v>0</v>
      </c>
      <c r="C644" s="17">
        <v>0</v>
      </c>
    </row>
    <row r="645" spans="1:3" x14ac:dyDescent="0.2">
      <c r="A645" s="311" t="s">
        <v>4763</v>
      </c>
      <c r="B645">
        <f>IF(ISBLANK(NeoDataInfB!$D$58),"",NeoDataInfB!$D$58)</f>
        <v>0</v>
      </c>
      <c r="C645" s="17">
        <v>0</v>
      </c>
    </row>
    <row r="646" spans="1:3" x14ac:dyDescent="0.2">
      <c r="A646" s="311" t="s">
        <v>4764</v>
      </c>
      <c r="B646">
        <f>IF(ISBLANK(NeoDataInfB!$D$59),"",NeoDataInfB!$D$59)</f>
        <v>0</v>
      </c>
      <c r="C646" s="17">
        <v>0</v>
      </c>
    </row>
    <row r="647" spans="1:3" x14ac:dyDescent="0.2">
      <c r="A647" s="311" t="s">
        <v>4765</v>
      </c>
      <c r="B647">
        <f>IF(ISBLANK(NeoDataInfB!$D$60),"",NeoDataInfB!$D$60)</f>
        <v>0</v>
      </c>
      <c r="C647" s="17">
        <v>0</v>
      </c>
    </row>
    <row r="648" spans="1:3" x14ac:dyDescent="0.2">
      <c r="A648" s="311" t="s">
        <v>4766</v>
      </c>
      <c r="B648">
        <f>IF(ISBLANK(NeoDataInfB!$D$61),"",NeoDataInfB!$D$61)</f>
        <v>0</v>
      </c>
      <c r="C648" s="17">
        <v>0</v>
      </c>
    </row>
    <row r="649" spans="1:3" x14ac:dyDescent="0.2">
      <c r="A649" s="311" t="s">
        <v>4767</v>
      </c>
      <c r="B649">
        <f>IF(ISBLANK(NeoDataInfB!$D$62),"",NeoDataInfB!$D$62)</f>
        <v>0</v>
      </c>
      <c r="C649" s="17">
        <v>0</v>
      </c>
    </row>
    <row r="650" spans="1:3" x14ac:dyDescent="0.2">
      <c r="A650" s="311" t="s">
        <v>4768</v>
      </c>
      <c r="B650">
        <f>IF(ISBLANK(NeoDataInfB!$D$63),"",NeoDataInfB!$D$63)</f>
        <v>0</v>
      </c>
      <c r="C650" s="17">
        <v>0</v>
      </c>
    </row>
    <row r="651" spans="1:3" x14ac:dyDescent="0.2">
      <c r="A651" s="311" t="s">
        <v>4769</v>
      </c>
      <c r="B651">
        <f>IF(ISBLANK(NeoDataInfB!$D$64),"",NeoDataInfB!$D$64)</f>
        <v>0</v>
      </c>
      <c r="C651" s="17">
        <v>0</v>
      </c>
    </row>
    <row r="652" spans="1:3" x14ac:dyDescent="0.2">
      <c r="A652" s="311" t="s">
        <v>4770</v>
      </c>
      <c r="B652">
        <f>IF(ISBLANK(NeoDataInfB!$D$65),"",NeoDataInfB!$D$65)</f>
        <v>0</v>
      </c>
      <c r="C652" s="17">
        <v>0</v>
      </c>
    </row>
    <row r="653" spans="1:3" x14ac:dyDescent="0.2">
      <c r="A653" s="311" t="s">
        <v>4771</v>
      </c>
      <c r="B653" t="b">
        <f>IF(ISBLANK(NeoDataInfB!$D$66),"",NeoDataInfB!$D$66)</f>
        <v>0</v>
      </c>
      <c r="C653" s="311" t="b">
        <v>0</v>
      </c>
    </row>
    <row r="654" spans="1:3" x14ac:dyDescent="0.2">
      <c r="A654" s="311" t="s">
        <v>4772</v>
      </c>
      <c r="B654" t="b">
        <f>IF(ISBLANK(NeoDataInfB!$D$67),"",NeoDataInfB!$D$67)</f>
        <v>0</v>
      </c>
      <c r="C654" s="311" t="b">
        <v>0</v>
      </c>
    </row>
    <row r="655" spans="1:3" x14ac:dyDescent="0.2">
      <c r="A655" s="311" t="s">
        <v>4773</v>
      </c>
      <c r="B655" t="b">
        <f>IF(ISBLANK(NeoDataInfB!$D$68),"",NeoDataInfB!$D$68)</f>
        <v>0</v>
      </c>
      <c r="C655" s="311" t="b">
        <v>0</v>
      </c>
    </row>
    <row r="656" spans="1:3" x14ac:dyDescent="0.2">
      <c r="A656" s="311" t="s">
        <v>4774</v>
      </c>
      <c r="B656" t="b">
        <f>IF(ISBLANK(NeoDataInfB!$D$69),"",NeoDataInfB!$D$69)</f>
        <v>0</v>
      </c>
      <c r="C656" s="311" t="b">
        <v>0</v>
      </c>
    </row>
    <row r="657" spans="1:3" x14ac:dyDescent="0.2">
      <c r="A657" s="311" t="s">
        <v>4775</v>
      </c>
      <c r="B657">
        <f>IF(ISBLANK(NeoDataInfB!$D$70),"",NeoDataInfB!$D$70)</f>
        <v>0</v>
      </c>
      <c r="C657" s="17">
        <v>0</v>
      </c>
    </row>
    <row r="658" spans="1:3" x14ac:dyDescent="0.2">
      <c r="A658" s="311" t="s">
        <v>4776</v>
      </c>
      <c r="B658">
        <f>IF(ISBLANK(NeoDataInfB!$D$71),"",NeoDataInfB!$D$71)</f>
        <v>0</v>
      </c>
      <c r="C658" s="17">
        <v>0</v>
      </c>
    </row>
    <row r="659" spans="1:3" x14ac:dyDescent="0.2">
      <c r="A659" s="311" t="s">
        <v>4777</v>
      </c>
      <c r="B659">
        <f>IF(ISBLANK(NeoDataInfB!$D$72),"",NeoDataInfB!$D$72)</f>
        <v>0</v>
      </c>
      <c r="C659" s="313">
        <v>0</v>
      </c>
    </row>
    <row r="660" spans="1:3" x14ac:dyDescent="0.2">
      <c r="A660" s="311" t="s">
        <v>4778</v>
      </c>
      <c r="B660">
        <f>IF(ISBLANK(NeoDataInfB!$D$73),"",NeoDataInfB!$D$73)</f>
        <v>0</v>
      </c>
      <c r="C660" s="313">
        <v>0</v>
      </c>
    </row>
    <row r="661" spans="1:3" x14ac:dyDescent="0.2">
      <c r="A661" s="311" t="s">
        <v>4779</v>
      </c>
      <c r="B661">
        <f>IF(ISBLANK(NeoDataInfB!$D$74),"",NeoDataInfB!$D$74)</f>
        <v>1</v>
      </c>
      <c r="C661" s="17">
        <v>1</v>
      </c>
    </row>
    <row r="662" spans="1:3" x14ac:dyDescent="0.2">
      <c r="A662" s="311" t="s">
        <v>4780</v>
      </c>
      <c r="B662">
        <f>IF(ISBLANK(NeoDataInfB!$D$75),"",NeoDataInfB!$D$75)</f>
        <v>1</v>
      </c>
      <c r="C662" s="17">
        <v>1</v>
      </c>
    </row>
    <row r="663" spans="1:3" x14ac:dyDescent="0.2">
      <c r="A663" s="311" t="s">
        <v>4781</v>
      </c>
      <c r="B663">
        <f>IF(ISBLANK(NeoDataInfB!$D$76),"",NeoDataInfB!$D$76)</f>
        <v>1</v>
      </c>
      <c r="C663" s="17">
        <v>1</v>
      </c>
    </row>
    <row r="664" spans="1:3" x14ac:dyDescent="0.2">
      <c r="A664" s="311" t="s">
        <v>4782</v>
      </c>
      <c r="B664">
        <f>IF(ISBLANK(NeoDataInfB!$D$77),"",NeoDataInfB!$D$77)</f>
        <v>1</v>
      </c>
      <c r="C664" s="17">
        <v>1</v>
      </c>
    </row>
    <row r="665" spans="1:3" x14ac:dyDescent="0.2">
      <c r="A665" s="311" t="s">
        <v>4783</v>
      </c>
      <c r="B665">
        <f>IF(ISBLANK(NeoDataInfB!$D$78),"",NeoDataInfB!$D$78)</f>
        <v>1</v>
      </c>
      <c r="C665" s="17">
        <v>1</v>
      </c>
    </row>
    <row r="666" spans="1:3" x14ac:dyDescent="0.2">
      <c r="A666" s="311" t="s">
        <v>4784</v>
      </c>
      <c r="B666">
        <f>IF(ISBLANK(NeoDataInfB!$D$79),"",NeoDataInfB!$D$79)</f>
        <v>1</v>
      </c>
      <c r="C666" s="17">
        <v>1</v>
      </c>
    </row>
    <row r="667" spans="1:3" x14ac:dyDescent="0.2">
      <c r="A667" s="311" t="s">
        <v>4785</v>
      </c>
      <c r="B667">
        <f>IF(ISBLANK(NeoDataInfB!$D$80),"",NeoDataInfB!$D$80)</f>
        <v>1</v>
      </c>
      <c r="C667" s="17">
        <v>1</v>
      </c>
    </row>
    <row r="668" spans="1:3" x14ac:dyDescent="0.2">
      <c r="A668" s="311" t="s">
        <v>4786</v>
      </c>
      <c r="B668">
        <f>IF(ISBLANK(NeoDataInfB!$D$81),"",NeoDataInfB!$D$81)</f>
        <v>1</v>
      </c>
      <c r="C668" s="17">
        <v>1</v>
      </c>
    </row>
    <row r="669" spans="1:3" x14ac:dyDescent="0.2">
      <c r="A669" s="311" t="s">
        <v>4787</v>
      </c>
      <c r="B669">
        <f>IF(ISBLANK(NeoDataInfB!$D$82),"",NeoDataInfB!$D$82)</f>
        <v>1</v>
      </c>
      <c r="C669" s="17">
        <v>1</v>
      </c>
    </row>
    <row r="670" spans="1:3" x14ac:dyDescent="0.2">
      <c r="A670" s="311" t="s">
        <v>4788</v>
      </c>
      <c r="B670">
        <f>IF(ISBLANK(NeoDataInfB!$D$83),"",NeoDataInfB!$D$83)</f>
        <v>1</v>
      </c>
      <c r="C670" s="17">
        <v>1</v>
      </c>
    </row>
    <row r="671" spans="1:3" x14ac:dyDescent="0.2">
      <c r="A671" s="311" t="s">
        <v>4789</v>
      </c>
      <c r="B671">
        <f>IF(ISBLANK(NeoDataInfB!$D$84),"",NeoDataInfB!$D$84)</f>
        <v>1</v>
      </c>
      <c r="C671" s="17">
        <v>1</v>
      </c>
    </row>
    <row r="672" spans="1:3" x14ac:dyDescent="0.2">
      <c r="A672" s="311" t="s">
        <v>4790</v>
      </c>
      <c r="B672">
        <f>IF(ISBLANK(NeoDataInfB!$D$85),"",NeoDataInfB!$D$85)</f>
        <v>1</v>
      </c>
      <c r="C672" s="17">
        <v>1</v>
      </c>
    </row>
    <row r="673" spans="1:3" x14ac:dyDescent="0.2">
      <c r="A673" s="311" t="s">
        <v>4791</v>
      </c>
      <c r="B673">
        <f>IF(ISBLANK(NeoDataInfB!$D$86),"",NeoDataInfB!$D$86)</f>
        <v>1</v>
      </c>
      <c r="C673" s="17">
        <v>1</v>
      </c>
    </row>
    <row r="674" spans="1:3" x14ac:dyDescent="0.2">
      <c r="A674" s="311" t="s">
        <v>4792</v>
      </c>
      <c r="B674">
        <f>IF(ISBLANK(NeoDataInfB!$D$87),"",NeoDataInfB!$D$87)</f>
        <v>1</v>
      </c>
      <c r="C674" s="17">
        <v>1</v>
      </c>
    </row>
    <row r="675" spans="1:3" x14ac:dyDescent="0.2">
      <c r="A675" s="311" t="s">
        <v>4793</v>
      </c>
      <c r="B675">
        <f>IF(ISBLANK(NeoDataInfB!$D$88),"",NeoDataInfB!$D$88)</f>
        <v>1</v>
      </c>
      <c r="C675" s="17">
        <v>1</v>
      </c>
    </row>
    <row r="676" spans="1:3" x14ac:dyDescent="0.2">
      <c r="A676" s="311" t="s">
        <v>4794</v>
      </c>
      <c r="B676">
        <f>IF(ISBLANK(NeoDataInfB!$D$89),"",NeoDataInfB!$D$89)</f>
        <v>1</v>
      </c>
      <c r="C676" s="17">
        <v>1</v>
      </c>
    </row>
    <row r="677" spans="1:3" x14ac:dyDescent="0.2">
      <c r="A677" s="311" t="s">
        <v>4795</v>
      </c>
      <c r="B677">
        <f>IF(ISBLANK(NeoDataInfB!$D$90),"",NeoDataInfB!$D$90)</f>
        <v>1</v>
      </c>
      <c r="C677" s="17">
        <v>1</v>
      </c>
    </row>
    <row r="678" spans="1:3" s="311" customFormat="1" x14ac:dyDescent="0.2">
      <c r="A678" s="311" t="s">
        <v>4796</v>
      </c>
      <c r="B678" s="311">
        <f>IF(ISBLANK(NeoDataInfB!$D$91),"",NeoDataInfB!$D$91)</f>
        <v>1</v>
      </c>
      <c r="C678" s="311">
        <v>1</v>
      </c>
    </row>
    <row r="679" spans="1:3" x14ac:dyDescent="0.2">
      <c r="A679" s="311" t="s">
        <v>4797</v>
      </c>
      <c r="B679">
        <f>IF(ISBLANK(NeoDataInfB!$D$92),"",NeoDataInfB!$D$92)</f>
        <v>5000</v>
      </c>
      <c r="C679" s="311">
        <v>5000</v>
      </c>
    </row>
    <row r="680" spans="1:3" x14ac:dyDescent="0.2">
      <c r="A680" s="311" t="s">
        <v>4798</v>
      </c>
      <c r="B680">
        <f>IF(ISBLANK(NeoDataInfB!$D$93),"",NeoDataInfB!$D$93)</f>
        <v>1</v>
      </c>
      <c r="C680" s="311">
        <v>1</v>
      </c>
    </row>
    <row r="681" spans="1:3" x14ac:dyDescent="0.2">
      <c r="A681" s="311" t="s">
        <v>4799</v>
      </c>
      <c r="B681">
        <f>IF(ISBLANK(NeoDataInfB!$D$94),"",NeoDataInfB!$D$94)</f>
        <v>2</v>
      </c>
      <c r="C681" s="311">
        <v>2</v>
      </c>
    </row>
    <row r="682" spans="1:3" x14ac:dyDescent="0.2">
      <c r="A682" s="311" t="s">
        <v>4800</v>
      </c>
      <c r="B682">
        <f>IF(ISBLANK(NeoDataInfB!$D$95),"",NeoDataInfB!$D$95)</f>
        <v>2</v>
      </c>
      <c r="C682" s="311">
        <v>2</v>
      </c>
    </row>
    <row r="683" spans="1:3" x14ac:dyDescent="0.2">
      <c r="A683" s="311" t="s">
        <v>4801</v>
      </c>
      <c r="B683">
        <f>IF(ISBLANK(NeoDataInfB!$D$96),"",NeoDataInfB!$D$96)</f>
        <v>5000</v>
      </c>
      <c r="C683" s="311">
        <v>5000</v>
      </c>
    </row>
    <row r="684" spans="1:3" x14ac:dyDescent="0.2">
      <c r="A684" s="311" t="s">
        <v>4802</v>
      </c>
      <c r="B684">
        <f>IF(ISBLANK(NeoDataInfB!$D$97),"",NeoDataInfB!$D$97)</f>
        <v>5000</v>
      </c>
      <c r="C684" s="311">
        <v>5000</v>
      </c>
    </row>
    <row r="685" spans="1:3" x14ac:dyDescent="0.2">
      <c r="A685" s="311" t="s">
        <v>4803</v>
      </c>
      <c r="B685">
        <f>IF(ISBLANK(NeoDataInfB!$D$98),"",NeoDataInfB!$D$98)</f>
        <v>1</v>
      </c>
      <c r="C685" s="311">
        <v>1</v>
      </c>
    </row>
    <row r="686" spans="1:3" x14ac:dyDescent="0.2">
      <c r="A686" s="311" t="s">
        <v>4804</v>
      </c>
      <c r="B686">
        <f>IF(ISBLANK(NeoDataInfB!$D$99),"",NeoDataInfB!$D$99)</f>
        <v>5000</v>
      </c>
      <c r="C686" s="311">
        <v>5000</v>
      </c>
    </row>
    <row r="687" spans="1:3" x14ac:dyDescent="0.2">
      <c r="A687" s="311" t="s">
        <v>4805</v>
      </c>
      <c r="B687">
        <f>IF(ISBLANK(NeoDataInfB!$D$100),"",NeoDataInfB!$D$100)</f>
        <v>5000</v>
      </c>
      <c r="C687" s="311">
        <v>5000</v>
      </c>
    </row>
    <row r="688" spans="1:3" x14ac:dyDescent="0.2">
      <c r="A688" s="311" t="s">
        <v>4806</v>
      </c>
      <c r="B688">
        <f>IF(ISBLANK(NeoDataInfB!$D$101),"",NeoDataInfB!$D$101)</f>
        <v>5000</v>
      </c>
      <c r="C688" s="311">
        <v>5000</v>
      </c>
    </row>
    <row r="689" spans="1:3" x14ac:dyDescent="0.2">
      <c r="A689" s="311" t="s">
        <v>4807</v>
      </c>
      <c r="B689">
        <f>IF(ISBLANK(NeoDataInfB!$D$102),"",NeoDataInfB!$D$102)</f>
        <v>5000</v>
      </c>
      <c r="C689" s="311">
        <v>5000</v>
      </c>
    </row>
    <row r="690" spans="1:3" x14ac:dyDescent="0.2">
      <c r="A690" s="311" t="s">
        <v>4808</v>
      </c>
      <c r="B690" t="b">
        <f>IF(ISBLANK(NeoDataInfB!$D$103),"",NeoDataInfB!$D$103)</f>
        <v>0</v>
      </c>
      <c r="C690" s="311" t="b">
        <v>0</v>
      </c>
    </row>
    <row r="691" spans="1:3" x14ac:dyDescent="0.2">
      <c r="A691" s="311" t="s">
        <v>4809</v>
      </c>
      <c r="B691">
        <f>IF(ISBLANK(NeoDataInfB!$D$104),"",NeoDataInfB!$D$104)</f>
        <v>5000</v>
      </c>
      <c r="C691" s="311">
        <v>5000</v>
      </c>
    </row>
    <row r="692" spans="1:3" x14ac:dyDescent="0.2">
      <c r="A692" s="311" t="s">
        <v>4810</v>
      </c>
      <c r="B692">
        <f>IF(ISBLANK(NeoDataInfB!$D$105),"",NeoDataInfB!$D$105)</f>
        <v>5000</v>
      </c>
      <c r="C692" s="311">
        <v>5000</v>
      </c>
    </row>
    <row r="693" spans="1:3" x14ac:dyDescent="0.2">
      <c r="A693" s="311" t="s">
        <v>4811</v>
      </c>
      <c r="B693">
        <f>IF(ISBLANK(NeoDataInfB!$D$106),"",NeoDataInfB!$D$106)</f>
        <v>5000</v>
      </c>
      <c r="C693" s="311">
        <v>5000</v>
      </c>
    </row>
    <row r="694" spans="1:3" x14ac:dyDescent="0.2">
      <c r="A694" s="311" t="s">
        <v>1799</v>
      </c>
      <c r="B694" t="b">
        <f>IF(ISBLANK(NeoBerAfspr!$B$22),"",NeoBerAfspr!$B$22)</f>
        <v>0</v>
      </c>
      <c r="C694" t="b">
        <v>0</v>
      </c>
    </row>
    <row r="695" spans="1:3" x14ac:dyDescent="0.2">
      <c r="A695" s="311" t="s">
        <v>1800</v>
      </c>
      <c r="B695" t="b">
        <f>IF(ISBLANK(NeoBerAfspr!$D$11),"",NeoBerAfspr!$D$11)</f>
        <v>0</v>
      </c>
      <c r="C695" s="311" t="b">
        <v>0</v>
      </c>
    </row>
    <row r="696" spans="1:3" x14ac:dyDescent="0.2">
      <c r="A696" s="311" t="s">
        <v>1801</v>
      </c>
      <c r="B696" t="b">
        <f>IF(ISBLANK(NeoBerAfspr!$D$12),"",NeoBerAfspr!$D$12)</f>
        <v>0</v>
      </c>
      <c r="C696" s="311" t="b">
        <v>0</v>
      </c>
    </row>
    <row r="697" spans="1:3" x14ac:dyDescent="0.2">
      <c r="A697" s="311" t="s">
        <v>1802</v>
      </c>
      <c r="B697" t="b">
        <f>IF(ISBLANK(NeoBerAfspr!$D$13),"",NeoBerAfspr!$D$13)</f>
        <v>0</v>
      </c>
      <c r="C697" s="311" t="b">
        <v>0</v>
      </c>
    </row>
    <row r="698" spans="1:3" x14ac:dyDescent="0.2">
      <c r="A698" s="311" t="s">
        <v>1803</v>
      </c>
      <c r="B698" t="b">
        <f>IF(ISBLANK(NeoBerAfspr!$D$14),"",NeoBerAfspr!$D$14)</f>
        <v>0</v>
      </c>
      <c r="C698" s="311" t="b">
        <v>0</v>
      </c>
    </row>
    <row r="699" spans="1:3" x14ac:dyDescent="0.2">
      <c r="A699" s="311" t="s">
        <v>1804</v>
      </c>
      <c r="B699" t="b">
        <f>IF(ISBLANK(NeoBerAfspr!$F$7),"",NeoBerAfspr!$F$7)</f>
        <v>0</v>
      </c>
      <c r="C699" s="311" t="b">
        <v>0</v>
      </c>
    </row>
    <row r="700" spans="1:3" x14ac:dyDescent="0.2">
      <c r="A700" s="311" t="s">
        <v>1805</v>
      </c>
      <c r="B700" t="b">
        <f>IF(ISBLANK(NeoBerAfspr!$J$7),"",NeoBerAfspr!$J$7)</f>
        <v>0</v>
      </c>
      <c r="C700" s="311" t="b">
        <v>0</v>
      </c>
    </row>
    <row r="701" spans="1:3" x14ac:dyDescent="0.2">
      <c r="A701" s="311" t="s">
        <v>1806</v>
      </c>
      <c r="B701" t="b">
        <f>IF(ISBLANK(NeoBerAfspr!$B$23),"",NeoBerAfspr!$B$23)</f>
        <v>0</v>
      </c>
      <c r="C701" s="311" t="b">
        <v>0</v>
      </c>
    </row>
    <row r="702" spans="1:3" x14ac:dyDescent="0.2">
      <c r="A702" s="311" t="s">
        <v>1807</v>
      </c>
      <c r="B702" t="b">
        <f>IF(ISBLANK(NeoBerAfspr!$B$24),"",NeoBerAfspr!$B$24)</f>
        <v>0</v>
      </c>
      <c r="C702" s="311" t="b">
        <v>0</v>
      </c>
    </row>
    <row r="703" spans="1:3" x14ac:dyDescent="0.2">
      <c r="A703" s="311" t="s">
        <v>1808</v>
      </c>
      <c r="B703" t="b">
        <f>IF(ISBLANK(NeoBerAfspr!$B$25),"",NeoBerAfspr!$B$25)</f>
        <v>0</v>
      </c>
      <c r="C703" s="311" t="b">
        <v>0</v>
      </c>
    </row>
    <row r="704" spans="1:3" x14ac:dyDescent="0.2">
      <c r="A704" s="311" t="s">
        <v>1809</v>
      </c>
      <c r="B704" t="b">
        <f>IF(ISBLANK(NeoBerAfspr!$B$26),"",NeoBerAfspr!$B$26)</f>
        <v>0</v>
      </c>
      <c r="C704" s="311" t="b">
        <v>0</v>
      </c>
    </row>
    <row r="705" spans="1:3" x14ac:dyDescent="0.2">
      <c r="A705" s="311" t="s">
        <v>1810</v>
      </c>
      <c r="B705" t="b">
        <f>IF(ISBLANK(NeoBerAfspr!$H$8),"",NeoBerAfspr!$H$8)</f>
        <v>0</v>
      </c>
      <c r="C705" s="311" t="b">
        <v>0</v>
      </c>
    </row>
    <row r="706" spans="1:3" x14ac:dyDescent="0.2">
      <c r="A706" s="311" t="s">
        <v>1811</v>
      </c>
      <c r="B706" t="b">
        <f>IF(ISBLANK(NeoBerAfspr!$F$8),"",NeoBerAfspr!$F$8)</f>
        <v>0</v>
      </c>
      <c r="C706" s="311" t="b">
        <v>0</v>
      </c>
    </row>
    <row r="707" spans="1:3" x14ac:dyDescent="0.2">
      <c r="A707" s="311" t="s">
        <v>1812</v>
      </c>
      <c r="B707" t="b">
        <f>IF(ISBLANK(NeoBerAfspr!$H$9),"",NeoBerAfspr!$H$9)</f>
        <v>0</v>
      </c>
      <c r="C707" s="311" t="b">
        <v>0</v>
      </c>
    </row>
    <row r="708" spans="1:3" x14ac:dyDescent="0.2">
      <c r="A708" s="311" t="s">
        <v>1813</v>
      </c>
      <c r="B708" t="b">
        <f>IF(ISBLANK(NeoBerAfspr!$H$10),"",NeoBerAfspr!$H$10)</f>
        <v>0</v>
      </c>
      <c r="C708" s="311" t="b">
        <v>0</v>
      </c>
    </row>
    <row r="709" spans="1:3" x14ac:dyDescent="0.2">
      <c r="A709" s="311" t="s">
        <v>1814</v>
      </c>
      <c r="B709" t="b">
        <f>IF(ISBLANK(NeoBerAfspr!$H$11),"",NeoBerAfspr!$H$11)</f>
        <v>0</v>
      </c>
      <c r="C709" s="311" t="b">
        <v>0</v>
      </c>
    </row>
    <row r="710" spans="1:3" x14ac:dyDescent="0.2">
      <c r="A710" s="311" t="s">
        <v>1815</v>
      </c>
      <c r="B710" t="b">
        <f>IF(ISBLANK(NeoBerAfspr!$B$7),"",NeoBerAfspr!$B$7)</f>
        <v>0</v>
      </c>
      <c r="C710" s="311" t="b">
        <v>0</v>
      </c>
    </row>
    <row r="711" spans="1:3" x14ac:dyDescent="0.2">
      <c r="A711" s="311" t="s">
        <v>1816</v>
      </c>
      <c r="B711" t="b">
        <f>IF(ISBLANK(NeoBerAfspr!$J$29),"",NeoBerAfspr!$J$29)</f>
        <v>0</v>
      </c>
      <c r="C711" s="311" t="b">
        <v>0</v>
      </c>
    </row>
    <row r="712" spans="1:3" x14ac:dyDescent="0.2">
      <c r="A712" s="311" t="s">
        <v>1817</v>
      </c>
      <c r="B712" t="b">
        <f>IF(ISBLANK(NeoBerAfspr!$J$8),"",NeoBerAfspr!$J$8)</f>
        <v>0</v>
      </c>
      <c r="C712" s="311" t="b">
        <v>0</v>
      </c>
    </row>
    <row r="713" spans="1:3" x14ac:dyDescent="0.2">
      <c r="A713" s="311" t="s">
        <v>1818</v>
      </c>
      <c r="B713" t="b">
        <f>IF(ISBLANK(NeoBerAfspr!$J$9),"",NeoBerAfspr!$J$9)</f>
        <v>0</v>
      </c>
      <c r="C713" s="311" t="b">
        <v>0</v>
      </c>
    </row>
    <row r="714" spans="1:3" x14ac:dyDescent="0.2">
      <c r="A714" s="311" t="s">
        <v>1819</v>
      </c>
      <c r="B714" t="b">
        <f>IF(ISBLANK(NeoBerAfspr!$B$8),"",NeoBerAfspr!$B$8)</f>
        <v>0</v>
      </c>
      <c r="C714" s="311" t="b">
        <v>0</v>
      </c>
    </row>
    <row r="715" spans="1:3" x14ac:dyDescent="0.2">
      <c r="A715" s="311" t="s">
        <v>1820</v>
      </c>
      <c r="B715" t="b">
        <f>IF(ISBLANK(NeoBerAfspr!$J$10),"",NeoBerAfspr!$J$10)</f>
        <v>0</v>
      </c>
      <c r="C715" s="311" t="b">
        <v>0</v>
      </c>
    </row>
    <row r="716" spans="1:3" s="311" customFormat="1" x14ac:dyDescent="0.2">
      <c r="A716" s="311" t="s">
        <v>1821</v>
      </c>
      <c r="B716" t="b">
        <f>IF(ISBLANK(NeoBerAfspr!$J$11),"",NeoBerAfspr!$J$11)</f>
        <v>0</v>
      </c>
      <c r="C716" s="311" t="b">
        <v>0</v>
      </c>
    </row>
    <row r="717" spans="1:3" x14ac:dyDescent="0.2">
      <c r="A717" s="311" t="s">
        <v>1822</v>
      </c>
      <c r="B717" t="b">
        <f>IF(ISBLANK(NeoBerAfspr!$F$12),"",NeoBerAfspr!$F$12)</f>
        <v>0</v>
      </c>
      <c r="C717" s="311" t="b">
        <v>0</v>
      </c>
    </row>
    <row r="718" spans="1:3" x14ac:dyDescent="0.2">
      <c r="A718" s="311" t="s">
        <v>1823</v>
      </c>
      <c r="B718" t="b">
        <f>IF(ISBLANK(NeoBerAfspr!$B$9),"",NeoBerAfspr!$B$9)</f>
        <v>0</v>
      </c>
      <c r="C718" s="311" t="b">
        <v>0</v>
      </c>
    </row>
    <row r="719" spans="1:3" x14ac:dyDescent="0.2">
      <c r="A719" s="311" t="s">
        <v>1824</v>
      </c>
      <c r="B719" t="b">
        <f>IF(ISBLANK(NeoBerAfspr!$B$46),"",NeoBerAfspr!$B$46)</f>
        <v>0</v>
      </c>
      <c r="C719" s="311" t="b">
        <v>0</v>
      </c>
    </row>
    <row r="720" spans="1:3" x14ac:dyDescent="0.2">
      <c r="A720" s="311" t="s">
        <v>1825</v>
      </c>
      <c r="B720" t="b">
        <f>IF(ISBLANK(NeoBerAfspr!$J$12),"",NeoBerAfspr!$J$12)</f>
        <v>0</v>
      </c>
      <c r="C720" s="311" t="b">
        <v>0</v>
      </c>
    </row>
    <row r="721" spans="1:3" s="311" customFormat="1" x14ac:dyDescent="0.2">
      <c r="A721" s="311" t="s">
        <v>1826</v>
      </c>
      <c r="B721" t="b">
        <f>IF(ISBLANK(NeoBerAfspr!$B$10),"",NeoBerAfspr!$B$10)</f>
        <v>0</v>
      </c>
      <c r="C721" s="311" t="b">
        <v>0</v>
      </c>
    </row>
    <row r="722" spans="1:3" s="311" customFormat="1" x14ac:dyDescent="0.2">
      <c r="A722" s="311" t="s">
        <v>1827</v>
      </c>
      <c r="B722" t="b">
        <f>IF(ISBLANK(NeoBerAfspr!$B$27),"",NeoBerAfspr!$B$27)</f>
        <v>0</v>
      </c>
      <c r="C722" s="311" t="b">
        <v>0</v>
      </c>
    </row>
    <row r="723" spans="1:3" s="311" customFormat="1" x14ac:dyDescent="0.2">
      <c r="A723" s="311" t="s">
        <v>1828</v>
      </c>
      <c r="B723" t="b">
        <f>IF(ISBLANK(NeoBerAfspr!$F$13),"",NeoBerAfspr!$F$13)</f>
        <v>0</v>
      </c>
      <c r="C723" s="311" t="b">
        <v>0</v>
      </c>
    </row>
    <row r="724" spans="1:3" s="311" customFormat="1" x14ac:dyDescent="0.2">
      <c r="A724" s="311" t="s">
        <v>1829</v>
      </c>
      <c r="B724" t="b">
        <f>IF(ISBLANK(NeoBerAfspr!$H$13),"",NeoBerAfspr!$H$13)</f>
        <v>0</v>
      </c>
      <c r="C724" s="311" t="b">
        <v>0</v>
      </c>
    </row>
    <row r="725" spans="1:3" x14ac:dyDescent="0.2">
      <c r="A725" s="311" t="s">
        <v>1830</v>
      </c>
      <c r="B725" t="b">
        <f>IF(ISBLANK(NeoBerAfspr!$B$11),"",NeoBerAfspr!$B$11)</f>
        <v>0</v>
      </c>
      <c r="C725" s="311" t="b">
        <v>0</v>
      </c>
    </row>
    <row r="726" spans="1:3" x14ac:dyDescent="0.2">
      <c r="A726" s="311" t="s">
        <v>1831</v>
      </c>
      <c r="B726" t="b">
        <f>IF(ISBLANK(NeoBerAfspr!$B$15),"",NeoBerAfspr!$B$15)</f>
        <v>0</v>
      </c>
      <c r="C726" s="311" t="b">
        <v>0</v>
      </c>
    </row>
    <row r="727" spans="1:3" x14ac:dyDescent="0.2">
      <c r="A727" s="311" t="s">
        <v>1832</v>
      </c>
      <c r="B727" t="b">
        <f>IF(ISBLANK(NeoBerAfspr!$B$28),"",NeoBerAfspr!$B$28)</f>
        <v>0</v>
      </c>
      <c r="C727" s="311" t="b">
        <v>0</v>
      </c>
    </row>
    <row r="728" spans="1:3" x14ac:dyDescent="0.2">
      <c r="A728" s="311" t="s">
        <v>1833</v>
      </c>
      <c r="B728" t="b">
        <f>IF(ISBLANK(NeoBerAfspr!$B$29),"",NeoBerAfspr!$B$29)</f>
        <v>0</v>
      </c>
      <c r="C728" s="311" t="b">
        <v>0</v>
      </c>
    </row>
    <row r="729" spans="1:3" x14ac:dyDescent="0.2">
      <c r="A729" s="311" t="s">
        <v>1834</v>
      </c>
      <c r="B729" t="b">
        <f>IF(ISBLANK(NeoBerAfspr!$B$30),"",NeoBerAfspr!$B$30)</f>
        <v>0</v>
      </c>
      <c r="C729" s="311" t="b">
        <v>0</v>
      </c>
    </row>
    <row r="730" spans="1:3" x14ac:dyDescent="0.2">
      <c r="A730" s="311" t="s">
        <v>1835</v>
      </c>
      <c r="B730" t="b">
        <f>IF(ISBLANK(NeoBerAfspr!$J$15),"",NeoBerAfspr!$J$15)</f>
        <v>0</v>
      </c>
      <c r="C730" s="311" t="b">
        <v>0</v>
      </c>
    </row>
    <row r="731" spans="1:3" x14ac:dyDescent="0.2">
      <c r="A731" s="311" t="s">
        <v>1836</v>
      </c>
      <c r="B731" t="b">
        <f>IF(ISBLANK(NeoBerAfspr!$J$13),"",NeoBerAfspr!$J$13)</f>
        <v>0</v>
      </c>
      <c r="C731" s="311" t="b">
        <v>0</v>
      </c>
    </row>
    <row r="732" spans="1:3" x14ac:dyDescent="0.2">
      <c r="A732" s="311" t="s">
        <v>1837</v>
      </c>
      <c r="B732" t="b">
        <f>IF(ISBLANK(NeoBerAfspr!$J$14),"",NeoBerAfspr!$J$14)</f>
        <v>0</v>
      </c>
      <c r="C732" s="311" t="b">
        <v>0</v>
      </c>
    </row>
    <row r="733" spans="1:3" x14ac:dyDescent="0.2">
      <c r="A733" s="311" t="s">
        <v>1838</v>
      </c>
      <c r="B733" t="b">
        <f>IF(ISBLANK(NeoBerAfspr!$F$14),"",NeoBerAfspr!$F$14)</f>
        <v>0</v>
      </c>
      <c r="C733" s="311" t="b">
        <v>0</v>
      </c>
    </row>
    <row r="734" spans="1:3" x14ac:dyDescent="0.2">
      <c r="A734" s="311" t="s">
        <v>1839</v>
      </c>
      <c r="B734" t="b">
        <f>IF(ISBLANK(NeoBerAfspr!$H$16),"",NeoBerAfspr!$H$16)</f>
        <v>0</v>
      </c>
      <c r="C734" s="311" t="b">
        <v>0</v>
      </c>
    </row>
    <row r="735" spans="1:3" x14ac:dyDescent="0.2">
      <c r="A735" s="311" t="s">
        <v>1840</v>
      </c>
      <c r="B735" s="311" t="b">
        <f>IF(ISBLANK(NeoBerAfspr!$F$15),"",NeoBerAfspr!$F$15)</f>
        <v>0</v>
      </c>
      <c r="C735" s="311" t="b">
        <v>0</v>
      </c>
    </row>
    <row r="736" spans="1:3" x14ac:dyDescent="0.2">
      <c r="A736" s="311" t="s">
        <v>1841</v>
      </c>
      <c r="B736" s="311" t="b">
        <f>IF(ISBLANK(NeoBerAfspr!$H$15),"",NeoBerAfspr!$H$15)</f>
        <v>0</v>
      </c>
      <c r="C736" s="311" t="b">
        <v>0</v>
      </c>
    </row>
    <row r="737" spans="1:3" x14ac:dyDescent="0.2">
      <c r="A737" s="311" t="s">
        <v>1842</v>
      </c>
      <c r="B737" s="311" t="b">
        <f>IF(ISBLANK(NeoBerAfspr!$J$16),"",NeoBerAfspr!$J$16)</f>
        <v>0</v>
      </c>
      <c r="C737" s="311" t="b">
        <v>0</v>
      </c>
    </row>
    <row r="738" spans="1:3" x14ac:dyDescent="0.2">
      <c r="A738" s="311" t="s">
        <v>1843</v>
      </c>
      <c r="B738" s="311" t="b">
        <f>IF(ISBLANK(NeoBerAfspr!$B$43),"",NeoBerAfspr!$B$43)</f>
        <v>0</v>
      </c>
      <c r="C738" s="311" t="b">
        <v>0</v>
      </c>
    </row>
    <row r="739" spans="1:3" x14ac:dyDescent="0.2">
      <c r="A739" s="311" t="s">
        <v>1844</v>
      </c>
      <c r="B739" s="311" t="b">
        <f>IF(ISBLANK(NeoBerAfspr!$D$43),"",NeoBerAfspr!$D$43)</f>
        <v>0</v>
      </c>
      <c r="C739" s="311" t="b">
        <v>0</v>
      </c>
    </row>
    <row r="740" spans="1:3" x14ac:dyDescent="0.2">
      <c r="A740" s="311" t="s">
        <v>1845</v>
      </c>
      <c r="B740" s="311" t="b">
        <f>IF(ISBLANK(NeoBerAfspr!$B$44),"",NeoBerAfspr!$B$44)</f>
        <v>0</v>
      </c>
      <c r="C740" s="311" t="b">
        <v>0</v>
      </c>
    </row>
    <row r="741" spans="1:3" x14ac:dyDescent="0.2">
      <c r="A741" s="311" t="s">
        <v>1846</v>
      </c>
      <c r="B741" s="311" t="b">
        <f>IF(ISBLANK(NeoBerAfspr!$D$44),"",NeoBerAfspr!$D$44)</f>
        <v>0</v>
      </c>
      <c r="C741" s="311" t="b">
        <v>0</v>
      </c>
    </row>
    <row r="742" spans="1:3" x14ac:dyDescent="0.2">
      <c r="A742" s="311" t="s">
        <v>1847</v>
      </c>
      <c r="B742" s="311" t="b">
        <f>IF(ISBLANK(NeoBerAfspr!$B$45),"",NeoBerAfspr!$B$45)</f>
        <v>0</v>
      </c>
      <c r="C742" s="311" t="b">
        <v>0</v>
      </c>
    </row>
    <row r="743" spans="1:3" x14ac:dyDescent="0.2">
      <c r="A743" s="311" t="s">
        <v>1848</v>
      </c>
      <c r="B743" s="311" t="b">
        <f>IF(ISBLANK(NeoBerAfspr!$D$45),"",NeoBerAfspr!$D$45)</f>
        <v>0</v>
      </c>
      <c r="C743" s="311" t="b">
        <v>0</v>
      </c>
    </row>
    <row r="744" spans="1:3" x14ac:dyDescent="0.2">
      <c r="A744" s="311" t="s">
        <v>1849</v>
      </c>
      <c r="B744" s="311" t="b">
        <f>IF(ISBLANK(NeoBerAfspr!$J$17),"",NeoBerAfspr!$J$17)</f>
        <v>0</v>
      </c>
      <c r="C744" s="311" t="b">
        <v>0</v>
      </c>
    </row>
    <row r="745" spans="1:3" x14ac:dyDescent="0.2">
      <c r="A745" s="311" t="s">
        <v>1850</v>
      </c>
      <c r="B745" t="b">
        <f>IF(ISBLANK(NeoBerAfspr!$J$18),"",NeoBerAfspr!$J$18)</f>
        <v>0</v>
      </c>
      <c r="C745" s="311" t="b">
        <v>0</v>
      </c>
    </row>
    <row r="746" spans="1:3" s="311" customFormat="1" x14ac:dyDescent="0.2">
      <c r="A746" s="311" t="s">
        <v>1851</v>
      </c>
      <c r="B746" t="b">
        <f>IF(ISBLANK(NeoBerAfspr!$F$17),"",NeoBerAfspr!$F$17)</f>
        <v>0</v>
      </c>
      <c r="C746" s="311" t="b">
        <v>0</v>
      </c>
    </row>
    <row r="747" spans="1:3" x14ac:dyDescent="0.2">
      <c r="A747" s="311" t="s">
        <v>1852</v>
      </c>
      <c r="B747" t="b">
        <f>IF(ISBLANK(NeoBerAfspr!$B$16),"",NeoBerAfspr!$B$16)</f>
        <v>0</v>
      </c>
      <c r="C747" s="311" t="b">
        <v>0</v>
      </c>
    </row>
    <row r="748" spans="1:3" x14ac:dyDescent="0.2">
      <c r="A748" s="311" t="s">
        <v>1853</v>
      </c>
      <c r="B748" t="b">
        <f>IF(ISBLANK(NeoBerAfspr!$B$17),"",NeoBerAfspr!$B$17)</f>
        <v>0</v>
      </c>
      <c r="C748" s="311" t="b">
        <v>0</v>
      </c>
    </row>
    <row r="749" spans="1:3" x14ac:dyDescent="0.2">
      <c r="A749" s="311" t="s">
        <v>1854</v>
      </c>
      <c r="B749" t="b">
        <f>IF(ISBLANK(NeoBerAfspr!$B$18),"",NeoBerAfspr!$B$18)</f>
        <v>0</v>
      </c>
      <c r="C749" s="311" t="b">
        <v>0</v>
      </c>
    </row>
    <row r="750" spans="1:3" x14ac:dyDescent="0.2">
      <c r="A750" s="311" t="s">
        <v>1855</v>
      </c>
      <c r="B750" t="b">
        <f>IF(ISBLANK(NeoBerAfspr!$H$18),"",NeoBerAfspr!$H$18)</f>
        <v>0</v>
      </c>
      <c r="C750" s="311" t="b">
        <v>0</v>
      </c>
    </row>
    <row r="751" spans="1:3" s="311" customFormat="1" x14ac:dyDescent="0.2">
      <c r="A751" s="311" t="s">
        <v>1856</v>
      </c>
      <c r="B751" t="b">
        <f>IF(ISBLANK(NeoBerAfspr!$F$18),"",NeoBerAfspr!$F$18)</f>
        <v>0</v>
      </c>
      <c r="C751" s="311" t="b">
        <v>0</v>
      </c>
    </row>
    <row r="752" spans="1:3" s="311" customFormat="1" x14ac:dyDescent="0.2">
      <c r="A752" s="311" t="s">
        <v>1857</v>
      </c>
      <c r="B752" t="b">
        <f>IF(ISBLANK(NeoBerAfspr!$H$19),"",NeoBerAfspr!$H$19)</f>
        <v>0</v>
      </c>
      <c r="C752" s="311" t="b">
        <v>0</v>
      </c>
    </row>
    <row r="753" spans="1:3" s="311" customFormat="1" x14ac:dyDescent="0.2">
      <c r="A753" s="311" t="s">
        <v>1858</v>
      </c>
      <c r="B753" t="b">
        <f>IF(ISBLANK(NeoBerAfspr!$H$20),"",NeoBerAfspr!$H$20)</f>
        <v>0</v>
      </c>
      <c r="C753" s="311" t="b">
        <v>0</v>
      </c>
    </row>
    <row r="754" spans="1:3" s="311" customFormat="1" x14ac:dyDescent="0.2">
      <c r="A754" s="311" t="s">
        <v>1859</v>
      </c>
      <c r="B754" t="b">
        <f>IF(ISBLANK(NeoBerAfspr!$B$34),"",NeoBerAfspr!$B$34)</f>
        <v>0</v>
      </c>
      <c r="C754" s="311" t="b">
        <v>0</v>
      </c>
    </row>
    <row r="755" spans="1:3" x14ac:dyDescent="0.2">
      <c r="A755" s="311" t="s">
        <v>1860</v>
      </c>
      <c r="B755" t="b">
        <f>IF(ISBLANK(NeoBerAfspr!$B$37),"",NeoBerAfspr!$B$37)</f>
        <v>0</v>
      </c>
      <c r="C755" s="311" t="b">
        <v>0</v>
      </c>
    </row>
    <row r="756" spans="1:3" x14ac:dyDescent="0.2">
      <c r="A756" s="311" t="s">
        <v>1861</v>
      </c>
      <c r="B756" t="b">
        <f>IF(ISBLANK(NeoBerAfspr!$B$40),"",NeoBerAfspr!$B$40)</f>
        <v>0</v>
      </c>
      <c r="C756" s="311" t="b">
        <v>0</v>
      </c>
    </row>
    <row r="757" spans="1:3" x14ac:dyDescent="0.2">
      <c r="A757" s="311" t="s">
        <v>1862</v>
      </c>
      <c r="B757" t="b">
        <f>IF(ISBLANK(NeoBerAfspr!$F$21),"",NeoBerAfspr!$F$21)</f>
        <v>0</v>
      </c>
      <c r="C757" s="311" t="b">
        <v>0</v>
      </c>
    </row>
    <row r="758" spans="1:3" x14ac:dyDescent="0.2">
      <c r="A758" s="311" t="s">
        <v>1863</v>
      </c>
      <c r="B758" t="b">
        <f>IF(ISBLANK(NeoBerAfspr!$F$23),"",NeoBerAfspr!$F$23)</f>
        <v>0</v>
      </c>
      <c r="C758" s="311" t="b">
        <v>0</v>
      </c>
    </row>
    <row r="759" spans="1:3" x14ac:dyDescent="0.2">
      <c r="A759" s="311" t="s">
        <v>1864</v>
      </c>
      <c r="B759" t="b">
        <f>IF(ISBLANK(NeoBerAfspr!$H$27),"",NeoBerAfspr!$H$27)</f>
        <v>0</v>
      </c>
      <c r="C759" s="311" t="b">
        <v>0</v>
      </c>
    </row>
    <row r="760" spans="1:3" x14ac:dyDescent="0.2">
      <c r="A760" s="311" t="s">
        <v>1865</v>
      </c>
      <c r="B760" s="308" t="b">
        <f>IF(ISBLANK(NeoBerAfspr!$H$28),"",NeoBerAfspr!$H$28)</f>
        <v>0</v>
      </c>
      <c r="C760" s="311" t="b">
        <v>0</v>
      </c>
    </row>
    <row r="761" spans="1:3" x14ac:dyDescent="0.2">
      <c r="A761" s="311" t="s">
        <v>1866</v>
      </c>
      <c r="B761" s="308" t="b">
        <f>IF(ISBLANK(NeoBerAfspr!$F$22),"",NeoBerAfspr!$F$22)</f>
        <v>0</v>
      </c>
      <c r="C761" s="311" t="b">
        <v>0</v>
      </c>
    </row>
    <row r="762" spans="1:3" x14ac:dyDescent="0.2">
      <c r="A762" s="311" t="s">
        <v>1867</v>
      </c>
      <c r="B762" s="308" t="b">
        <f>IF(ISBLANK(NeoBerAfspr!$H$22),"",NeoBerAfspr!$H$22)</f>
        <v>0</v>
      </c>
      <c r="C762" s="311" t="b">
        <v>0</v>
      </c>
    </row>
    <row r="763" spans="1:3" x14ac:dyDescent="0.2">
      <c r="A763" s="311" t="s">
        <v>1868</v>
      </c>
      <c r="B763" s="308" t="b">
        <f>IF(ISBLANK(NeoBerAfspr!$H$29),"",NeoBerAfspr!$H$29)</f>
        <v>0</v>
      </c>
      <c r="C763" s="311" t="b">
        <v>0</v>
      </c>
    </row>
    <row r="764" spans="1:3" x14ac:dyDescent="0.2">
      <c r="A764" s="311" t="s">
        <v>1869</v>
      </c>
      <c r="B764" s="308" t="b">
        <f>IF(ISBLANK(NeoBerAfspr!$H$23),"",NeoBerAfspr!$H$23)</f>
        <v>0</v>
      </c>
      <c r="C764" s="311" t="b">
        <v>0</v>
      </c>
    </row>
    <row r="765" spans="1:3" x14ac:dyDescent="0.2">
      <c r="A765" s="311" t="s">
        <v>1870</v>
      </c>
      <c r="B765" s="308" t="b">
        <f>IF(ISBLANK(NeoBerAfspr!$H$30),"",NeoBerAfspr!$H$30)</f>
        <v>0</v>
      </c>
      <c r="C765" s="311" t="b">
        <v>0</v>
      </c>
    </row>
    <row r="766" spans="1:3" x14ac:dyDescent="0.2">
      <c r="A766" s="311" t="s">
        <v>1871</v>
      </c>
      <c r="B766" s="308" t="b">
        <f>IF(ISBLANK(NeoBerAfspr!$H$24),"",NeoBerAfspr!$H$24)</f>
        <v>0</v>
      </c>
      <c r="C766" s="311" t="b">
        <v>0</v>
      </c>
    </row>
    <row r="767" spans="1:3" x14ac:dyDescent="0.2">
      <c r="A767" s="311" t="s">
        <v>1872</v>
      </c>
      <c r="B767" s="308" t="b">
        <f>IF(ISBLANK(NeoBerAfspr!$H$25),"",NeoBerAfspr!$H$25)</f>
        <v>0</v>
      </c>
      <c r="C767" s="311" t="b">
        <v>0</v>
      </c>
    </row>
    <row r="768" spans="1:3" x14ac:dyDescent="0.2">
      <c r="A768" s="311" t="s">
        <v>1873</v>
      </c>
      <c r="B768" s="308" t="b">
        <f>IF(ISBLANK(NeoBerAfspr!$H$26),"",NeoBerAfspr!$H$26)</f>
        <v>0</v>
      </c>
      <c r="C768" s="311" t="b">
        <v>0</v>
      </c>
    </row>
    <row r="769" spans="1:3" x14ac:dyDescent="0.2">
      <c r="A769" s="311" t="s">
        <v>1874</v>
      </c>
      <c r="B769" s="308" t="b">
        <f>IF(ISBLANK(NeoBerAfspr!$J$19),"",NeoBerAfspr!$J$19)</f>
        <v>0</v>
      </c>
      <c r="C769" s="311" t="b">
        <v>0</v>
      </c>
    </row>
    <row r="770" spans="1:3" x14ac:dyDescent="0.2">
      <c r="A770" s="311" t="s">
        <v>1875</v>
      </c>
      <c r="B770" s="308" t="b">
        <f>IF(ISBLANK(NeoBerAfspr!$J$20),"",NeoBerAfspr!$J$20)</f>
        <v>0</v>
      </c>
      <c r="C770" s="311" t="b">
        <v>0</v>
      </c>
    </row>
    <row r="771" spans="1:3" x14ac:dyDescent="0.2">
      <c r="A771" s="311" t="s">
        <v>1876</v>
      </c>
      <c r="B771" s="308" t="b">
        <f>IF(ISBLANK(NeoBerAfspr!$L$23),"",NeoBerAfspr!$L$23)</f>
        <v>0</v>
      </c>
      <c r="C771" s="311" t="b">
        <v>0</v>
      </c>
    </row>
    <row r="772" spans="1:3" x14ac:dyDescent="0.2">
      <c r="A772" s="311" t="s">
        <v>1877</v>
      </c>
      <c r="B772" s="308" t="b">
        <f>IF(ISBLANK(NeoBerAfspr!$L$22),"",NeoBerAfspr!$L$22)</f>
        <v>0</v>
      </c>
      <c r="C772" s="311" t="b">
        <v>0</v>
      </c>
    </row>
    <row r="773" spans="1:3" x14ac:dyDescent="0.2">
      <c r="A773" s="311" t="s">
        <v>1878</v>
      </c>
      <c r="B773" s="308" t="b">
        <f>IF(ISBLANK(NeoBerAfspr!$L$21),"",NeoBerAfspr!$L$21)</f>
        <v>0</v>
      </c>
      <c r="C773" s="311" t="b">
        <v>0</v>
      </c>
    </row>
    <row r="774" spans="1:3" x14ac:dyDescent="0.2">
      <c r="A774" s="311" t="s">
        <v>1879</v>
      </c>
      <c r="B774" s="308" t="b">
        <f>IF(ISBLANK(NeoBerAfspr!$J$24),"",NeoBerAfspr!$J$24)</f>
        <v>0</v>
      </c>
      <c r="C774" s="311" t="b">
        <v>0</v>
      </c>
    </row>
    <row r="775" spans="1:3" x14ac:dyDescent="0.2">
      <c r="A775" s="311" t="s">
        <v>1880</v>
      </c>
      <c r="B775" s="308" t="b">
        <f>IF(ISBLANK(NeoBerAfspr!$L$24),"",NeoBerAfspr!$L$24)</f>
        <v>0</v>
      </c>
      <c r="C775" s="311" t="b">
        <v>0</v>
      </c>
    </row>
    <row r="776" spans="1:3" x14ac:dyDescent="0.2">
      <c r="A776" s="311" t="s">
        <v>1881</v>
      </c>
      <c r="B776" s="308" t="b">
        <f>IF(ISBLANK(NeoBerAfspr!$L$25),"",NeoBerAfspr!$L$25)</f>
        <v>0</v>
      </c>
      <c r="C776" s="311" t="b">
        <v>0</v>
      </c>
    </row>
    <row r="777" spans="1:3" x14ac:dyDescent="0.2">
      <c r="A777" s="311" t="s">
        <v>1882</v>
      </c>
      <c r="B777" s="308" t="b">
        <f>IF(ISBLANK(NeoBerAfspr!$L$26),"",NeoBerAfspr!$L$26)</f>
        <v>0</v>
      </c>
      <c r="C777" s="311" t="b">
        <v>0</v>
      </c>
    </row>
    <row r="778" spans="1:3" x14ac:dyDescent="0.2">
      <c r="A778" s="311" t="s">
        <v>1883</v>
      </c>
      <c r="B778" s="308" t="b">
        <f>IF(ISBLANK(NeoBerAfspr!$L$27),"",NeoBerAfspr!$L$27)</f>
        <v>0</v>
      </c>
      <c r="C778" s="311" t="b">
        <v>0</v>
      </c>
    </row>
    <row r="779" spans="1:3" x14ac:dyDescent="0.2">
      <c r="A779" s="311" t="s">
        <v>1884</v>
      </c>
      <c r="B779" s="308" t="b">
        <f>IF(ISBLANK(NeoBerAfspr!$B$19),"",NeoBerAfspr!$B$19)</f>
        <v>0</v>
      </c>
      <c r="C779" s="311" t="b">
        <v>0</v>
      </c>
    </row>
    <row r="780" spans="1:3" x14ac:dyDescent="0.2">
      <c r="A780" s="311" t="s">
        <v>1798</v>
      </c>
      <c r="B780" s="308" t="b">
        <f>IF(ISBLANK(NeoBerAfspr!$G$31),"",NeoBerAfspr!$G$31)</f>
        <v>0</v>
      </c>
      <c r="C780" s="130"/>
    </row>
    <row r="781" spans="1:3" x14ac:dyDescent="0.2">
      <c r="A781" s="311" t="s">
        <v>1885</v>
      </c>
      <c r="B781" s="308" t="b">
        <f>IF(ISBLANK(NeoBerAfspr!$B$31),"",NeoBerAfspr!$B$31)</f>
        <v>0</v>
      </c>
      <c r="C781" s="311" t="b">
        <v>0</v>
      </c>
    </row>
    <row r="782" spans="1:3" x14ac:dyDescent="0.2">
      <c r="A782" s="311" t="s">
        <v>1886</v>
      </c>
      <c r="B782" s="308" t="b">
        <f>IF(ISBLANK(NeoBerAfspr!$B$32),"",NeoBerAfspr!$B$32)</f>
        <v>0</v>
      </c>
      <c r="C782" s="311" t="b">
        <v>0</v>
      </c>
    </row>
    <row r="783" spans="1:3" x14ac:dyDescent="0.2">
      <c r="A783" s="311" t="s">
        <v>1887</v>
      </c>
      <c r="B783" s="308">
        <f>IF(ISBLANK(NeoBerAfspr!$K$29),"",NeoBerAfspr!$K$29)</f>
        <v>0</v>
      </c>
      <c r="C783">
        <v>0</v>
      </c>
    </row>
    <row r="784" spans="1:3" x14ac:dyDescent="0.2">
      <c r="A784" s="311" t="s">
        <v>1888</v>
      </c>
      <c r="B784" s="308">
        <f>IF(ISBLANK(NeoBerAfspr!$D$22),"",NeoBerAfspr!$D$22)</f>
        <v>1</v>
      </c>
      <c r="C784">
        <v>1</v>
      </c>
    </row>
    <row r="785" spans="1:6" x14ac:dyDescent="0.2">
      <c r="A785" s="311" t="s">
        <v>1889</v>
      </c>
      <c r="B785" s="308">
        <f>IF(ISBLANK(NeoBerAfspr!$C$8),"",NeoBerAfspr!$C$8)</f>
        <v>0</v>
      </c>
      <c r="C785">
        <v>0</v>
      </c>
    </row>
    <row r="786" spans="1:6" x14ac:dyDescent="0.2">
      <c r="A786" s="311" t="s">
        <v>1890</v>
      </c>
      <c r="B786" s="308">
        <f>IF(ISBLANK(NeoBerAfspr!$D$8),"",NeoBerAfspr!$D$8)</f>
        <v>1</v>
      </c>
      <c r="C786">
        <v>1</v>
      </c>
    </row>
    <row r="787" spans="1:6" x14ac:dyDescent="0.2">
      <c r="A787" s="311" t="s">
        <v>1891</v>
      </c>
      <c r="B787" s="308">
        <f>IF(ISBLANK(NeoBerAfspr!$C$9),"",NeoBerAfspr!$C$9)</f>
        <v>0</v>
      </c>
      <c r="C787">
        <v>0</v>
      </c>
    </row>
    <row r="788" spans="1:6" x14ac:dyDescent="0.2">
      <c r="A788" s="311" t="s">
        <v>1892</v>
      </c>
      <c r="B788" s="308">
        <f>IF(ISBLANK(NeoBerAfspr!$D$9),"",NeoBerAfspr!$D$9)</f>
        <v>1</v>
      </c>
      <c r="C788">
        <v>1</v>
      </c>
    </row>
    <row r="789" spans="1:6" x14ac:dyDescent="0.2">
      <c r="A789" s="311" t="s">
        <v>1893</v>
      </c>
      <c r="B789" s="308">
        <f>IF(ISBLANK(NeoBerAfspr!$D$47),"",NeoBerAfspr!$D$47)</f>
        <v>0</v>
      </c>
      <c r="C789">
        <v>0</v>
      </c>
    </row>
    <row r="790" spans="1:6" x14ac:dyDescent="0.2">
      <c r="A790" s="311" t="s">
        <v>1894</v>
      </c>
      <c r="B790" s="308">
        <f>IF(ISBLANK(NeoBerAfspr!$D$46),"",NeoBerAfspr!$D$46)</f>
        <v>1</v>
      </c>
      <c r="C790">
        <v>1</v>
      </c>
    </row>
    <row r="791" spans="1:6" x14ac:dyDescent="0.2">
      <c r="A791" s="311" t="s">
        <v>1895</v>
      </c>
      <c r="B791" s="308">
        <f>IF(ISBLANK(NeoBerAfspr!$B$12),"",NeoBerAfspr!$B$12)</f>
        <v>0</v>
      </c>
      <c r="C791">
        <v>0</v>
      </c>
    </row>
    <row r="792" spans="1:6" x14ac:dyDescent="0.2">
      <c r="A792" s="311" t="s">
        <v>1896</v>
      </c>
      <c r="B792" s="308">
        <f>IF(ISBLANK(NeoBerAfspr!$K$17),"",NeoBerAfspr!$K$17)</f>
        <v>0</v>
      </c>
      <c r="C792">
        <v>0</v>
      </c>
    </row>
    <row r="793" spans="1:6" x14ac:dyDescent="0.2">
      <c r="A793" s="311" t="s">
        <v>1897</v>
      </c>
      <c r="B793" s="308">
        <f>IF(ISBLANK(NeoBerAfspr!$L$17),"",NeoBerAfspr!$L$17)</f>
        <v>0</v>
      </c>
      <c r="C793">
        <v>0</v>
      </c>
    </row>
    <row r="794" spans="1:6" x14ac:dyDescent="0.2">
      <c r="A794" s="311" t="s">
        <v>1898</v>
      </c>
      <c r="B794" s="308">
        <f>IF(ISBLANK(NeoBerAfspr!$C$18),"",NeoBerAfspr!$C$18)</f>
        <v>0</v>
      </c>
      <c r="C794">
        <v>0</v>
      </c>
    </row>
    <row r="795" spans="1:6" x14ac:dyDescent="0.2">
      <c r="A795" s="311" t="s">
        <v>1899</v>
      </c>
      <c r="B795" s="308">
        <f>IF(ISBLANK(NeoBerAfspr!$D$18),"",NeoBerAfspr!$D$18)</f>
        <v>1</v>
      </c>
      <c r="C795">
        <v>1</v>
      </c>
    </row>
    <row r="796" spans="1:6" x14ac:dyDescent="0.2">
      <c r="A796" s="311" t="s">
        <v>1900</v>
      </c>
      <c r="B796" s="308">
        <f>IF(ISBLANK(NeoBerAfspr!$D$36),"",NeoBerAfspr!$D$36)</f>
        <v>1</v>
      </c>
      <c r="C796">
        <v>1</v>
      </c>
    </row>
    <row r="797" spans="1:6" x14ac:dyDescent="0.2">
      <c r="A797" s="311" t="s">
        <v>1901</v>
      </c>
      <c r="B797" s="308">
        <f>IF(ISBLANK(NeoBerAfspr!$D$34),"",NeoBerAfspr!$D$34)</f>
        <v>1</v>
      </c>
      <c r="C797">
        <v>1</v>
      </c>
    </row>
    <row r="798" spans="1:6" x14ac:dyDescent="0.2">
      <c r="A798" s="311" t="s">
        <v>1902</v>
      </c>
      <c r="B798" s="308">
        <f>IF(ISBLANK(NeoBerAfspr!$D$35),"",NeoBerAfspr!$D$35)</f>
        <v>1</v>
      </c>
      <c r="C798">
        <v>1</v>
      </c>
    </row>
    <row r="799" spans="1:6" x14ac:dyDescent="0.2">
      <c r="A799" s="311" t="s">
        <v>1903</v>
      </c>
      <c r="B799" s="308">
        <f>IF(ISBLANK(NeoBerAfspr!$D$39),"",NeoBerAfspr!$D$39)</f>
        <v>1</v>
      </c>
      <c r="C799">
        <v>1</v>
      </c>
    </row>
    <row r="800" spans="1:6" x14ac:dyDescent="0.2">
      <c r="A800" s="311" t="s">
        <v>1904</v>
      </c>
      <c r="B800" s="308">
        <f>IF(ISBLANK(NeoBerAfspr!$D$37),"",NeoBerAfspr!$D$37)</f>
        <v>1</v>
      </c>
      <c r="C800">
        <v>1</v>
      </c>
      <c r="F800" s="311"/>
    </row>
    <row r="801" spans="1:6" x14ac:dyDescent="0.2">
      <c r="A801" s="311" t="s">
        <v>1905</v>
      </c>
      <c r="B801" s="308">
        <f>IF(ISBLANK(NeoBerAfspr!$D$38),"",NeoBerAfspr!$D$38)</f>
        <v>1</v>
      </c>
      <c r="C801">
        <v>1</v>
      </c>
      <c r="F801" s="311"/>
    </row>
    <row r="802" spans="1:6" x14ac:dyDescent="0.2">
      <c r="A802" s="311" t="s">
        <v>1906</v>
      </c>
      <c r="B802" s="308">
        <f>IF(ISBLANK(NeoBerAfspr!$D$42),"",NeoBerAfspr!$D$42)</f>
        <v>1</v>
      </c>
      <c r="C802">
        <v>1</v>
      </c>
      <c r="F802" s="311"/>
    </row>
    <row r="803" spans="1:6" x14ac:dyDescent="0.2">
      <c r="A803" s="311" t="s">
        <v>1907</v>
      </c>
      <c r="B803" s="308">
        <f>IF(ISBLANK(NeoBerAfspr!$D$40),"",NeoBerAfspr!$D$40)</f>
        <v>1</v>
      </c>
      <c r="C803">
        <v>1</v>
      </c>
      <c r="F803" s="311"/>
    </row>
    <row r="804" spans="1:6" x14ac:dyDescent="0.2">
      <c r="A804" s="311" t="s">
        <v>1908</v>
      </c>
      <c r="B804" s="308">
        <f>IF(ISBLANK(NeoBerAfspr!$D$41),"",NeoBerAfspr!$D$41)</f>
        <v>1</v>
      </c>
      <c r="C804">
        <v>1</v>
      </c>
      <c r="F804" s="311"/>
    </row>
    <row r="805" spans="1:6" x14ac:dyDescent="0.2">
      <c r="A805" s="311" t="s">
        <v>1909</v>
      </c>
      <c r="B805" s="308">
        <f>IF(ISBLANK(NeoBerAfspr!$K$20),"",NeoBerAfspr!$K$20)</f>
        <v>0</v>
      </c>
      <c r="C805">
        <v>0</v>
      </c>
      <c r="F805" s="311"/>
    </row>
    <row r="806" spans="1:6" x14ac:dyDescent="0.2">
      <c r="A806" s="311" t="s">
        <v>1910</v>
      </c>
      <c r="B806" s="308">
        <f>IF(ISBLANK(NeoBerAfspr!$D$27),"",NeoBerAfspr!$D$27)</f>
        <v>50</v>
      </c>
      <c r="C806">
        <v>50</v>
      </c>
      <c r="F806" s="311"/>
    </row>
    <row r="807" spans="1:6" x14ac:dyDescent="0.2">
      <c r="A807" s="311" t="s">
        <v>1911</v>
      </c>
      <c r="B807" s="308" t="b">
        <f>IF(ISBLANK(NeoBerAfspr!$G$31),"",NeoBerAfspr!$G$31)</f>
        <v>0</v>
      </c>
      <c r="C807" s="561" t="b">
        <v>0</v>
      </c>
      <c r="F807" s="311"/>
    </row>
    <row r="808" spans="1:6" x14ac:dyDescent="0.2">
      <c r="A808" s="311" t="s">
        <v>1786</v>
      </c>
      <c r="B808" s="308">
        <f>IF(ISBLANK(NeoBerAfspr!$D$27),"",NeoBerAfspr!$D$27)</f>
        <v>50</v>
      </c>
      <c r="C808">
        <v>50</v>
      </c>
      <c r="F808" s="311"/>
    </row>
    <row r="809" spans="1:6" x14ac:dyDescent="0.2">
      <c r="A809" s="311" t="s">
        <v>4812</v>
      </c>
      <c r="B809" s="308">
        <f>IF(ISBLANK(NeoDataInfB!$B$2),"",NeoDataInfB!$B$2)</f>
        <v>0</v>
      </c>
      <c r="C809" s="17">
        <v>0</v>
      </c>
      <c r="F809" s="311"/>
    </row>
    <row r="810" spans="1:6" x14ac:dyDescent="0.2">
      <c r="A810" s="311" t="s">
        <v>4813</v>
      </c>
      <c r="B810" s="308">
        <f>IF(ISBLANK(NeoDataInfB!$B$3),"",NeoDataInfB!$B$3)</f>
        <v>1</v>
      </c>
      <c r="C810">
        <v>1</v>
      </c>
    </row>
    <row r="811" spans="1:6" x14ac:dyDescent="0.2">
      <c r="A811" s="311" t="s">
        <v>4814</v>
      </c>
      <c r="B811" s="308">
        <f>IF(ISBLANK(NeoDataInfB!$B$4),"",NeoDataInfB!$B$4)</f>
        <v>1</v>
      </c>
      <c r="C811">
        <v>1</v>
      </c>
    </row>
    <row r="812" spans="1:6" x14ac:dyDescent="0.2">
      <c r="A812" s="311" t="s">
        <v>4815</v>
      </c>
      <c r="B812" s="308">
        <f>IF(ISBLANK(NeoDataInfB!$B$5),"",NeoDataInfB!$B$5)</f>
        <v>1</v>
      </c>
      <c r="C812">
        <v>1</v>
      </c>
    </row>
    <row r="813" spans="1:6" x14ac:dyDescent="0.2">
      <c r="A813" s="311" t="s">
        <v>4816</v>
      </c>
      <c r="B813" s="308">
        <f>IF(ISBLANK(NeoDataInfB!$B$6),"",NeoDataInfB!$B$6)</f>
        <v>1</v>
      </c>
      <c r="C813">
        <v>1</v>
      </c>
    </row>
    <row r="814" spans="1:6" x14ac:dyDescent="0.2">
      <c r="A814" s="311" t="s">
        <v>4817</v>
      </c>
      <c r="B814" s="308">
        <f>IF(ISBLANK(NeoDataInfB!$B$7),"",NeoDataInfB!$B$7)</f>
        <v>1</v>
      </c>
      <c r="C814">
        <v>1</v>
      </c>
    </row>
    <row r="815" spans="1:6" x14ac:dyDescent="0.2">
      <c r="A815" s="311" t="s">
        <v>4818</v>
      </c>
      <c r="B815" s="308">
        <f>IF(ISBLANK(NeoDataInfB!$B$8),"",NeoDataInfB!$B$8)</f>
        <v>1</v>
      </c>
      <c r="C815">
        <v>1</v>
      </c>
    </row>
    <row r="816" spans="1:6" x14ac:dyDescent="0.2">
      <c r="A816" s="311" t="s">
        <v>4819</v>
      </c>
      <c r="B816" s="308">
        <f>IF(ISBLANK(NeoDataInfB!$B$9),"",NeoDataInfB!$B$9)</f>
        <v>1</v>
      </c>
      <c r="C816">
        <v>1</v>
      </c>
    </row>
    <row r="817" spans="1:3" x14ac:dyDescent="0.2">
      <c r="A817" s="311" t="s">
        <v>4820</v>
      </c>
      <c r="B817" s="308">
        <f>IF(ISBLANK(NeoDataInfB!$B$10),"",NeoDataInfB!$B$10)</f>
        <v>1</v>
      </c>
      <c r="C817">
        <v>1</v>
      </c>
    </row>
    <row r="818" spans="1:3" x14ac:dyDescent="0.2">
      <c r="A818" s="311" t="s">
        <v>4821</v>
      </c>
      <c r="B818" s="308">
        <f>IF(ISBLANK(NeoDataInfB!$B$11),"",NeoDataInfB!$B$11)</f>
        <v>1</v>
      </c>
      <c r="C818">
        <v>1</v>
      </c>
    </row>
    <row r="819" spans="1:3" x14ac:dyDescent="0.2">
      <c r="A819" s="311" t="s">
        <v>4822</v>
      </c>
      <c r="B819" s="308">
        <f>IF(ISBLANK(NeoDataInfB!$B$12),"",NeoDataInfB!$B$12)</f>
        <v>0</v>
      </c>
      <c r="C819" s="313">
        <v>0</v>
      </c>
    </row>
    <row r="820" spans="1:3" x14ac:dyDescent="0.2">
      <c r="A820" s="311" t="s">
        <v>4823</v>
      </c>
      <c r="B820" s="308">
        <f>IF(ISBLANK(NeoDataInfB!$B$13),"",NeoDataInfB!$B$13)</f>
        <v>0</v>
      </c>
      <c r="C820" s="313">
        <v>0</v>
      </c>
    </row>
    <row r="821" spans="1:3" x14ac:dyDescent="0.2">
      <c r="A821" s="311" t="s">
        <v>4824</v>
      </c>
      <c r="B821" s="308">
        <f>IF(ISBLANK(NeoDataInfB!$B$14),"",NeoDataInfB!$B$14)</f>
        <v>0</v>
      </c>
      <c r="C821" s="313">
        <v>0</v>
      </c>
    </row>
    <row r="822" spans="1:3" x14ac:dyDescent="0.2">
      <c r="A822" s="311" t="s">
        <v>4825</v>
      </c>
      <c r="B822" s="308">
        <f>IF(ISBLANK(NeoDataInfB!$B$15),"",NeoDataInfB!$B$15)</f>
        <v>0</v>
      </c>
      <c r="C822" s="313">
        <v>0</v>
      </c>
    </row>
    <row r="823" spans="1:3" x14ac:dyDescent="0.2">
      <c r="A823" s="311" t="s">
        <v>4826</v>
      </c>
      <c r="B823" s="308">
        <f>IF(ISBLANK(NeoDataInfB!$B$16),"",NeoDataInfB!$B$16)</f>
        <v>0</v>
      </c>
      <c r="C823" s="313">
        <v>0</v>
      </c>
    </row>
    <row r="824" spans="1:3" x14ac:dyDescent="0.2">
      <c r="A824" s="311" t="s">
        <v>4827</v>
      </c>
      <c r="B824" s="308">
        <f>IF(ISBLANK(NeoDataInfB!$B$17),"",NeoDataInfB!$B$17)</f>
        <v>0</v>
      </c>
      <c r="C824" s="313">
        <v>0</v>
      </c>
    </row>
    <row r="825" spans="1:3" x14ac:dyDescent="0.2">
      <c r="A825" s="311" t="s">
        <v>4828</v>
      </c>
      <c r="B825" s="308">
        <f>IF(ISBLANK(NeoDataInfB!$B$18),"",NeoDataInfB!$B$18)</f>
        <v>0</v>
      </c>
      <c r="C825" s="313">
        <v>0</v>
      </c>
    </row>
    <row r="826" spans="1:3" x14ac:dyDescent="0.2">
      <c r="A826" s="311" t="s">
        <v>4829</v>
      </c>
      <c r="B826" s="308">
        <f>IF(ISBLANK(NeoDataInfB!$B$19),"",NeoDataInfB!$B$19)</f>
        <v>0</v>
      </c>
      <c r="C826" s="313">
        <v>0</v>
      </c>
    </row>
    <row r="827" spans="1:3" x14ac:dyDescent="0.2">
      <c r="A827" s="311" t="s">
        <v>4830</v>
      </c>
      <c r="B827" s="308">
        <f>IF(ISBLANK(NeoDataInfB!$B$20),"",NeoDataInfB!$B$20)</f>
        <v>0</v>
      </c>
      <c r="C827" s="313">
        <v>0</v>
      </c>
    </row>
    <row r="828" spans="1:3" x14ac:dyDescent="0.2">
      <c r="A828" s="311" t="s">
        <v>4831</v>
      </c>
      <c r="B828" s="308" t="str">
        <f>IF(ISBLANK(NeoDataInfB!$B$21),"",NeoDataInfB!$B$21)</f>
        <v/>
      </c>
      <c r="C828" s="130" t="s">
        <v>4336</v>
      </c>
    </row>
    <row r="829" spans="1:3" x14ac:dyDescent="0.2">
      <c r="A829" s="311" t="s">
        <v>4832</v>
      </c>
      <c r="B829" s="308" t="str">
        <f>IF(ISBLANK(NeoDataInfB!$B$22),"",NeoDataInfB!$B$22)</f>
        <v/>
      </c>
      <c r="C829" s="130" t="s">
        <v>4336</v>
      </c>
    </row>
    <row r="830" spans="1:3" x14ac:dyDescent="0.2">
      <c r="A830" s="311" t="s">
        <v>4833</v>
      </c>
      <c r="B830" s="308">
        <f>IF(ISBLANK(NeoDataInfB!$B$23),"",NeoDataInfB!$B$23)</f>
        <v>0</v>
      </c>
      <c r="C830" s="313">
        <v>0</v>
      </c>
    </row>
    <row r="831" spans="1:3" x14ac:dyDescent="0.2">
      <c r="A831" s="311" t="s">
        <v>4834</v>
      </c>
      <c r="B831" s="308">
        <f>IF(ISBLANK(NeoDataInfB!$B$24),"",NeoDataInfB!$B$24)</f>
        <v>0</v>
      </c>
      <c r="C831" s="313">
        <v>0</v>
      </c>
    </row>
    <row r="832" spans="1:3" x14ac:dyDescent="0.2">
      <c r="A832" s="311" t="s">
        <v>4835</v>
      </c>
      <c r="B832" s="308">
        <f>IF(ISBLANK(NeoDataInfB!$B$25),"",NeoDataInfB!$B$25)</f>
        <v>0</v>
      </c>
      <c r="C832" s="313">
        <v>0</v>
      </c>
    </row>
    <row r="833" spans="1:3" x14ac:dyDescent="0.2">
      <c r="A833" s="311" t="s">
        <v>4836</v>
      </c>
      <c r="B833" s="308">
        <f>IF(ISBLANK(NeoDataInfB!$B$26),"",NeoDataInfB!$B$26)</f>
        <v>0</v>
      </c>
      <c r="C833" s="313">
        <v>0</v>
      </c>
    </row>
    <row r="834" spans="1:3" x14ac:dyDescent="0.2">
      <c r="A834" s="311" t="s">
        <v>4837</v>
      </c>
      <c r="B834" s="308">
        <f>IF(ISBLANK(NeoDataInfB!$B$27),"",NeoDataInfB!$B$27)</f>
        <v>0</v>
      </c>
      <c r="C834" s="313">
        <v>0</v>
      </c>
    </row>
    <row r="835" spans="1:3" x14ac:dyDescent="0.2">
      <c r="A835" s="311" t="s">
        <v>4838</v>
      </c>
      <c r="B835" s="308">
        <f>IF(ISBLANK(NeoDataInfB!$B$28),"",NeoDataInfB!$B$28)</f>
        <v>0</v>
      </c>
      <c r="C835" s="313">
        <v>0</v>
      </c>
    </row>
    <row r="836" spans="1:3" x14ac:dyDescent="0.2">
      <c r="A836" s="311" t="s">
        <v>4839</v>
      </c>
      <c r="B836" s="308">
        <f>IF(ISBLANK(NeoDataInfB!$B$29),"",NeoDataInfB!$B$29)</f>
        <v>0</v>
      </c>
      <c r="C836" s="313">
        <v>0</v>
      </c>
    </row>
    <row r="837" spans="1:3" x14ac:dyDescent="0.2">
      <c r="A837" s="311" t="s">
        <v>4840</v>
      </c>
      <c r="B837" s="308">
        <f>IF(ISBLANK(NeoDataInfB!$B$30),"",NeoDataInfB!$B$30)</f>
        <v>0</v>
      </c>
      <c r="C837" s="313">
        <v>0</v>
      </c>
    </row>
    <row r="838" spans="1:3" x14ac:dyDescent="0.2">
      <c r="A838" s="311" t="s">
        <v>4841</v>
      </c>
      <c r="B838" s="308">
        <f>IF(ISBLANK(NeoDataInfB!$B$31),"",NeoDataInfB!$B$31)</f>
        <v>0</v>
      </c>
      <c r="C838" s="313">
        <v>0</v>
      </c>
    </row>
    <row r="839" spans="1:3" x14ac:dyDescent="0.2">
      <c r="A839" s="311" t="s">
        <v>4842</v>
      </c>
      <c r="B839" s="308">
        <f>IF(ISBLANK(NeoDataInfB!$B$32),"",NeoDataInfB!$B$32)</f>
        <v>1</v>
      </c>
      <c r="C839" s="17">
        <v>1</v>
      </c>
    </row>
    <row r="840" spans="1:3" x14ac:dyDescent="0.2">
      <c r="A840" s="311" t="s">
        <v>4843</v>
      </c>
      <c r="B840" s="308">
        <f>IF(ISBLANK(NeoDataInfB!$B$33),"",NeoDataInfB!$B$33)</f>
        <v>1</v>
      </c>
      <c r="C840" s="17">
        <v>1</v>
      </c>
    </row>
    <row r="841" spans="1:3" x14ac:dyDescent="0.2">
      <c r="A841" s="311" t="s">
        <v>4844</v>
      </c>
      <c r="B841" s="308">
        <f>IF(ISBLANK(NeoDataInfB!$B$34),"",NeoDataInfB!$B$34)</f>
        <v>1</v>
      </c>
      <c r="C841" s="17">
        <v>1</v>
      </c>
    </row>
    <row r="842" spans="1:3" x14ac:dyDescent="0.2">
      <c r="A842" s="311" t="s">
        <v>4845</v>
      </c>
      <c r="B842" s="308">
        <f>IF(ISBLANK(NeoDataInfB!$B$35),"",NeoDataInfB!$B$35)</f>
        <v>1</v>
      </c>
      <c r="C842" s="17">
        <v>1</v>
      </c>
    </row>
    <row r="843" spans="1:3" x14ac:dyDescent="0.2">
      <c r="A843" s="311" t="s">
        <v>4846</v>
      </c>
      <c r="B843" s="308">
        <f>IF(ISBLANK(NeoDataInfB!$B$36),"",NeoDataInfB!$B$36)</f>
        <v>1</v>
      </c>
      <c r="C843" s="17">
        <v>1</v>
      </c>
    </row>
    <row r="844" spans="1:3" x14ac:dyDescent="0.2">
      <c r="A844" s="311" t="s">
        <v>4847</v>
      </c>
      <c r="B844" s="308">
        <f>IF(ISBLANK(NeoDataInfB!$B$37),"",NeoDataInfB!$B$37)</f>
        <v>1</v>
      </c>
      <c r="C844" s="17">
        <v>1</v>
      </c>
    </row>
    <row r="845" spans="1:3" x14ac:dyDescent="0.2">
      <c r="A845" s="311" t="s">
        <v>4848</v>
      </c>
      <c r="B845" s="308">
        <f>IF(ISBLANK(NeoDataInfB!$B$38),"",NeoDataInfB!$B$38)</f>
        <v>1</v>
      </c>
      <c r="C845" s="17">
        <v>1</v>
      </c>
    </row>
    <row r="846" spans="1:3" x14ac:dyDescent="0.2">
      <c r="A846" s="311" t="s">
        <v>4849</v>
      </c>
      <c r="B846" s="308">
        <f>IF(ISBLANK(NeoDataInfB!$B$39),"",NeoDataInfB!$B$39)</f>
        <v>1</v>
      </c>
      <c r="C846" s="17">
        <v>1</v>
      </c>
    </row>
    <row r="847" spans="1:3" x14ac:dyDescent="0.2">
      <c r="A847" s="311" t="s">
        <v>4850</v>
      </c>
      <c r="B847" s="308">
        <f>IF(ISBLANK(NeoDataInfB!$B$40),"",NeoDataInfB!$B$40)</f>
        <v>1</v>
      </c>
      <c r="C847" s="17">
        <v>1</v>
      </c>
    </row>
    <row r="848" spans="1:3" x14ac:dyDescent="0.2">
      <c r="A848" s="311" t="s">
        <v>4851</v>
      </c>
      <c r="B848" s="308">
        <f>IF(ISBLANK(NeoDataInfB!$B$41),"",NeoDataInfB!$B$41)</f>
        <v>0</v>
      </c>
      <c r="C848" s="17">
        <v>0</v>
      </c>
    </row>
    <row r="849" spans="1:3" x14ac:dyDescent="0.2">
      <c r="A849" s="311" t="s">
        <v>4852</v>
      </c>
      <c r="B849" s="308">
        <f>IF(ISBLANK(NeoDataInfB!$B$42),"",NeoDataInfB!$B$42)</f>
        <v>0</v>
      </c>
      <c r="C849" s="17">
        <v>0</v>
      </c>
    </row>
    <row r="850" spans="1:3" x14ac:dyDescent="0.2">
      <c r="A850" s="311" t="s">
        <v>4853</v>
      </c>
      <c r="B850" s="308">
        <f>IF(ISBLANK(NeoDataInfB!$B$43),"",NeoDataInfB!$B$43)</f>
        <v>0</v>
      </c>
      <c r="C850" s="17">
        <v>0</v>
      </c>
    </row>
    <row r="851" spans="1:3" x14ac:dyDescent="0.2">
      <c r="A851" s="311" t="s">
        <v>4854</v>
      </c>
      <c r="B851" s="308">
        <f>IF(ISBLANK(NeoDataInfB!$B$44),"",NeoDataInfB!$B$44)</f>
        <v>0</v>
      </c>
      <c r="C851" s="313">
        <v>0</v>
      </c>
    </row>
    <row r="852" spans="1:3" x14ac:dyDescent="0.2">
      <c r="A852" s="311" t="s">
        <v>4855</v>
      </c>
      <c r="B852" s="308">
        <f>IF(ISBLANK(NeoDataInfB!$B$45),"",NeoDataInfB!$B$45)</f>
        <v>0</v>
      </c>
      <c r="C852" s="313">
        <v>0</v>
      </c>
    </row>
    <row r="853" spans="1:3" x14ac:dyDescent="0.2">
      <c r="A853" s="311" t="s">
        <v>4856</v>
      </c>
      <c r="B853" s="308">
        <f>IF(ISBLANK(NeoDataInfB!$B$46),"",NeoDataInfB!$B$46)</f>
        <v>0</v>
      </c>
      <c r="C853" s="313">
        <v>0</v>
      </c>
    </row>
    <row r="854" spans="1:3" x14ac:dyDescent="0.2">
      <c r="A854" s="311" t="s">
        <v>4857</v>
      </c>
      <c r="B854" s="308">
        <f>IF(ISBLANK(NeoDataInfB!$B$47),"",NeoDataInfB!$B$47)</f>
        <v>0</v>
      </c>
      <c r="C854" s="313">
        <v>0</v>
      </c>
    </row>
    <row r="855" spans="1:3" x14ac:dyDescent="0.2">
      <c r="A855" s="311" t="s">
        <v>4858</v>
      </c>
      <c r="B855" s="308">
        <f>IF(ISBLANK(NeoDataInfB!$B$48),"",NeoDataInfB!$B$48)</f>
        <v>0</v>
      </c>
      <c r="C855" s="313">
        <v>0</v>
      </c>
    </row>
    <row r="856" spans="1:3" x14ac:dyDescent="0.2">
      <c r="A856" s="311" t="s">
        <v>4859</v>
      </c>
      <c r="B856" s="308">
        <f>IF(ISBLANK(NeoDataInfB!$B$49),"",NeoDataInfB!$B$49)</f>
        <v>0</v>
      </c>
      <c r="C856" s="313">
        <v>0</v>
      </c>
    </row>
    <row r="857" spans="1:3" x14ac:dyDescent="0.2">
      <c r="A857" s="311" t="s">
        <v>4860</v>
      </c>
      <c r="B857" s="308">
        <f>IF(ISBLANK(NeoDataInfB!$B$50),"",NeoDataInfB!$B$50)</f>
        <v>0</v>
      </c>
      <c r="C857" s="313">
        <v>0</v>
      </c>
    </row>
    <row r="858" spans="1:3" x14ac:dyDescent="0.2">
      <c r="A858" s="311" t="s">
        <v>4861</v>
      </c>
      <c r="B858" s="308">
        <f>IF(ISBLANK(NeoDataInfB!$B$51),"",NeoDataInfB!$B$51)</f>
        <v>0</v>
      </c>
      <c r="C858" s="313">
        <v>0</v>
      </c>
    </row>
    <row r="859" spans="1:3" x14ac:dyDescent="0.2">
      <c r="A859" s="311" t="s">
        <v>4862</v>
      </c>
      <c r="B859" s="308">
        <f>IF(ISBLANK(NeoDataInfB!$B$52),"",NeoDataInfB!$B$52)</f>
        <v>0</v>
      </c>
      <c r="C859" s="313">
        <v>0</v>
      </c>
    </row>
    <row r="860" spans="1:3" x14ac:dyDescent="0.2">
      <c r="A860" s="311" t="s">
        <v>4863</v>
      </c>
      <c r="B860" s="308">
        <f>IF(ISBLANK(NeoDataInfB!$B$53),"",NeoDataInfB!$B$53)</f>
        <v>0</v>
      </c>
      <c r="C860" s="313">
        <v>0</v>
      </c>
    </row>
    <row r="861" spans="1:3" x14ac:dyDescent="0.2">
      <c r="A861" s="311" t="s">
        <v>4864</v>
      </c>
      <c r="B861" s="308">
        <f>IF(ISBLANK(NeoDataInfB!$B$54),"",NeoDataInfB!$B$54)</f>
        <v>0</v>
      </c>
      <c r="C861" s="313">
        <v>0</v>
      </c>
    </row>
    <row r="862" spans="1:3" x14ac:dyDescent="0.2">
      <c r="A862" s="311" t="s">
        <v>4865</v>
      </c>
      <c r="B862" s="308">
        <f>IF(ISBLANK(NeoDataInfB!$B$55),"",NeoDataInfB!$B$55)</f>
        <v>0</v>
      </c>
      <c r="C862" s="313">
        <v>0</v>
      </c>
    </row>
    <row r="863" spans="1:3" x14ac:dyDescent="0.2">
      <c r="A863" s="311" t="s">
        <v>4866</v>
      </c>
      <c r="B863" s="308">
        <f>IF(ISBLANK(NeoDataInfB!$B$56),"",NeoDataInfB!$B$56)</f>
        <v>0</v>
      </c>
      <c r="C863" s="17">
        <v>0</v>
      </c>
    </row>
    <row r="864" spans="1:3" x14ac:dyDescent="0.2">
      <c r="A864" s="311" t="s">
        <v>4867</v>
      </c>
      <c r="B864" s="308">
        <f>IF(ISBLANK(NeoDataInfB!$B$57),"",NeoDataInfB!$B$57)</f>
        <v>0</v>
      </c>
      <c r="C864" s="17">
        <v>0</v>
      </c>
    </row>
    <row r="865" spans="1:3" x14ac:dyDescent="0.2">
      <c r="A865" s="311" t="s">
        <v>4868</v>
      </c>
      <c r="B865" s="308">
        <f>IF(ISBLANK(NeoDataInfB!$B$58),"",NeoDataInfB!$B$58)</f>
        <v>0</v>
      </c>
      <c r="C865" s="17">
        <v>0</v>
      </c>
    </row>
    <row r="866" spans="1:3" x14ac:dyDescent="0.2">
      <c r="A866" s="311" t="s">
        <v>4869</v>
      </c>
      <c r="B866" s="308">
        <f>IF(ISBLANK(NeoDataInfB!$B$59),"",NeoDataInfB!$B$59)</f>
        <v>0</v>
      </c>
      <c r="C866" s="17">
        <v>0</v>
      </c>
    </row>
    <row r="867" spans="1:3" x14ac:dyDescent="0.2">
      <c r="A867" s="311" t="s">
        <v>4870</v>
      </c>
      <c r="B867" s="308">
        <f>IF(ISBLANK(NeoDataInfB!$B$60),"",NeoDataInfB!$B$60)</f>
        <v>0</v>
      </c>
      <c r="C867" s="17">
        <v>0</v>
      </c>
    </row>
    <row r="868" spans="1:3" x14ac:dyDescent="0.2">
      <c r="A868" s="311" t="s">
        <v>4871</v>
      </c>
      <c r="B868" s="308">
        <f>IF(ISBLANK(NeoDataInfB!$B$61),"",NeoDataInfB!$B$61)</f>
        <v>0</v>
      </c>
      <c r="C868" s="17">
        <v>0</v>
      </c>
    </row>
    <row r="869" spans="1:3" x14ac:dyDescent="0.2">
      <c r="A869" s="311" t="s">
        <v>4872</v>
      </c>
      <c r="B869" s="308">
        <f>IF(ISBLANK(NeoDataInfB!$B$62),"",NeoDataInfB!$B$62)</f>
        <v>0</v>
      </c>
      <c r="C869" s="17">
        <v>0</v>
      </c>
    </row>
    <row r="870" spans="1:3" s="311" customFormat="1" x14ac:dyDescent="0.2">
      <c r="A870" s="311" t="s">
        <v>4873</v>
      </c>
      <c r="B870" s="308">
        <f>IF(ISBLANK(NeoDataInfB!$B$63),"",NeoDataInfB!$B$63)</f>
        <v>0</v>
      </c>
      <c r="C870" s="17">
        <v>0</v>
      </c>
    </row>
    <row r="871" spans="1:3" x14ac:dyDescent="0.2">
      <c r="A871" s="311" t="s">
        <v>4874</v>
      </c>
      <c r="B871" s="308">
        <f>IF(ISBLANK(NeoDataInfB!$B$64),"",NeoDataInfB!$B$64)</f>
        <v>0</v>
      </c>
      <c r="C871" s="17">
        <v>0</v>
      </c>
    </row>
    <row r="872" spans="1:3" x14ac:dyDescent="0.2">
      <c r="A872" s="311" t="s">
        <v>4875</v>
      </c>
      <c r="B872" s="308">
        <f>IF(ISBLANK(NeoDataInfB!$B$65),"",NeoDataInfB!$B$65)</f>
        <v>0</v>
      </c>
      <c r="C872" s="17">
        <v>0</v>
      </c>
    </row>
    <row r="873" spans="1:3" s="311" customFormat="1" x14ac:dyDescent="0.2">
      <c r="A873" s="311" t="s">
        <v>4876</v>
      </c>
      <c r="B873" s="308" t="b">
        <f>IF(ISBLANK(NeoDataInfB!$B$66),"",NeoDataInfB!$B$66)</f>
        <v>0</v>
      </c>
      <c r="C873" s="311" t="b">
        <v>0</v>
      </c>
    </row>
    <row r="874" spans="1:3" s="311" customFormat="1" x14ac:dyDescent="0.2">
      <c r="A874" s="311" t="s">
        <v>4877</v>
      </c>
      <c r="B874" s="154" t="b">
        <f>IF(ISBLANK(NeoDataInfB!$B$67),"",NeoDataInfB!$B$67)</f>
        <v>0</v>
      </c>
      <c r="C874" s="311" t="b">
        <v>0</v>
      </c>
    </row>
    <row r="875" spans="1:3" x14ac:dyDescent="0.2">
      <c r="A875" s="311" t="s">
        <v>4878</v>
      </c>
      <c r="B875" s="154" t="b">
        <f>IF(ISBLANK(NeoDataInfB!$B$68),"",NeoDataInfB!$B$68)</f>
        <v>0</v>
      </c>
      <c r="C875" t="b">
        <v>0</v>
      </c>
    </row>
    <row r="876" spans="1:3" x14ac:dyDescent="0.2">
      <c r="A876" s="311" t="s">
        <v>4879</v>
      </c>
      <c r="B876" s="154" t="b">
        <f>IF(ISBLANK(NeoDataInfB!$B$69),"",NeoDataInfB!$B$69)</f>
        <v>0</v>
      </c>
      <c r="C876" t="b">
        <v>0</v>
      </c>
    </row>
    <row r="877" spans="1:3" x14ac:dyDescent="0.2">
      <c r="A877" s="311" t="s">
        <v>4880</v>
      </c>
      <c r="B877" s="154">
        <f>IF(ISBLANK(NeoDataInfB!$B$70),"",NeoDataInfB!$B$70)</f>
        <v>0</v>
      </c>
      <c r="C877" s="17">
        <v>0</v>
      </c>
    </row>
    <row r="878" spans="1:3" x14ac:dyDescent="0.2">
      <c r="A878" s="311" t="s">
        <v>4881</v>
      </c>
      <c r="B878" s="154">
        <f>IF(ISBLANK(NeoDataInfB!$B$71),"",NeoDataInfB!$B$71)</f>
        <v>0</v>
      </c>
      <c r="C878" s="17">
        <v>0</v>
      </c>
    </row>
    <row r="879" spans="1:3" s="311" customFormat="1" x14ac:dyDescent="0.2">
      <c r="A879" s="311" t="s">
        <v>4882</v>
      </c>
      <c r="B879" s="154">
        <f>IF(ISBLANK(NeoDataInfB!$B$72),"",NeoDataInfB!$B$72)</f>
        <v>0</v>
      </c>
      <c r="C879" s="313">
        <v>0</v>
      </c>
    </row>
    <row r="880" spans="1:3" s="311" customFormat="1" x14ac:dyDescent="0.2">
      <c r="A880" s="311" t="s">
        <v>4883</v>
      </c>
      <c r="B880" s="154">
        <f>IF(ISBLANK(NeoDataInfB!$B$73),"",NeoDataInfB!$B$73)</f>
        <v>0</v>
      </c>
      <c r="C880" s="313">
        <v>0</v>
      </c>
    </row>
    <row r="881" spans="1:3" x14ac:dyDescent="0.2">
      <c r="A881" s="311" t="s">
        <v>4884</v>
      </c>
      <c r="B881" s="154">
        <f>IF(ISBLANK(NeoDataInfB!$B$74),"",NeoDataInfB!$B$74)</f>
        <v>1</v>
      </c>
      <c r="C881" s="17">
        <v>1</v>
      </c>
    </row>
    <row r="882" spans="1:3" x14ac:dyDescent="0.2">
      <c r="A882" s="311" t="s">
        <v>4885</v>
      </c>
      <c r="B882" s="154">
        <f>IF(ISBLANK(NeoDataInfB!$B$75),"",NeoDataInfB!$B$75)</f>
        <v>1</v>
      </c>
      <c r="C882" s="17">
        <v>1</v>
      </c>
    </row>
    <row r="883" spans="1:3" x14ac:dyDescent="0.2">
      <c r="A883" s="311" t="s">
        <v>4886</v>
      </c>
      <c r="B883" s="154">
        <f>IF(ISBLANK(NeoDataInfB!$B$76),"",NeoDataInfB!$B$76)</f>
        <v>1</v>
      </c>
      <c r="C883" s="17">
        <v>1</v>
      </c>
    </row>
    <row r="884" spans="1:3" x14ac:dyDescent="0.2">
      <c r="A884" s="311" t="s">
        <v>4887</v>
      </c>
      <c r="B884" s="154">
        <f>IF(ISBLANK(NeoDataInfB!$B$77),"",NeoDataInfB!$B$77)</f>
        <v>1</v>
      </c>
      <c r="C884" s="17">
        <v>1</v>
      </c>
    </row>
    <row r="885" spans="1:3" x14ac:dyDescent="0.2">
      <c r="A885" s="311" t="s">
        <v>4888</v>
      </c>
      <c r="B885" s="154">
        <f>IF(ISBLANK(NeoDataInfB!$B$78),"",NeoDataInfB!$B$78)</f>
        <v>1</v>
      </c>
      <c r="C885" s="17">
        <v>1</v>
      </c>
    </row>
    <row r="886" spans="1:3" x14ac:dyDescent="0.2">
      <c r="A886" s="311" t="s">
        <v>4889</v>
      </c>
      <c r="B886" s="154">
        <f>IF(ISBLANK(NeoDataInfB!$B$79),"",NeoDataInfB!$B$79)</f>
        <v>1</v>
      </c>
      <c r="C886" s="17">
        <v>1</v>
      </c>
    </row>
    <row r="887" spans="1:3" x14ac:dyDescent="0.2">
      <c r="A887" s="311" t="s">
        <v>4890</v>
      </c>
      <c r="B887">
        <f>IF(ISBLANK(NeoDataInfB!$B$80),"",NeoDataInfB!$B$80)</f>
        <v>1</v>
      </c>
      <c r="C887" s="17">
        <v>1</v>
      </c>
    </row>
    <row r="888" spans="1:3" x14ac:dyDescent="0.2">
      <c r="A888" s="311" t="s">
        <v>4891</v>
      </c>
      <c r="B888">
        <f>IF(ISBLANK(NeoDataInfB!$B$81),"",NeoDataInfB!$B$81)</f>
        <v>1</v>
      </c>
      <c r="C888" s="17">
        <v>1</v>
      </c>
    </row>
    <row r="889" spans="1:3" x14ac:dyDescent="0.2">
      <c r="A889" s="311" t="s">
        <v>4892</v>
      </c>
      <c r="B889">
        <f>IF(ISBLANK(NeoDataInfB!$B$82),"",NeoDataInfB!$B$82)</f>
        <v>1</v>
      </c>
      <c r="C889" s="17">
        <v>1</v>
      </c>
    </row>
    <row r="890" spans="1:3" x14ac:dyDescent="0.2">
      <c r="A890" s="311" t="s">
        <v>4893</v>
      </c>
      <c r="B890">
        <f>IF(ISBLANK(NeoDataInfB!$B$83),"",NeoDataInfB!$B$83)</f>
        <v>1</v>
      </c>
      <c r="C890" s="17">
        <v>1</v>
      </c>
    </row>
    <row r="891" spans="1:3" x14ac:dyDescent="0.2">
      <c r="A891" s="311" t="s">
        <v>4894</v>
      </c>
      <c r="B891">
        <f>IF(ISBLANK(NeoDataInfB!$B$84),"",NeoDataInfB!$B$84)</f>
        <v>1</v>
      </c>
      <c r="C891" s="17">
        <v>1</v>
      </c>
    </row>
    <row r="892" spans="1:3" x14ac:dyDescent="0.2">
      <c r="A892" s="311" t="s">
        <v>4895</v>
      </c>
      <c r="B892">
        <f>IF(ISBLANK(NeoDataInfB!$B$85),"",NeoDataInfB!$B$85)</f>
        <v>1</v>
      </c>
      <c r="C892" s="17">
        <v>1</v>
      </c>
    </row>
    <row r="893" spans="1:3" x14ac:dyDescent="0.2">
      <c r="A893" s="311" t="s">
        <v>4896</v>
      </c>
      <c r="B893">
        <f>IF(ISBLANK(NeoDataInfB!$B$86),"",NeoDataInfB!$B$86)</f>
        <v>1</v>
      </c>
      <c r="C893" s="17">
        <v>1</v>
      </c>
    </row>
    <row r="894" spans="1:3" x14ac:dyDescent="0.2">
      <c r="A894" s="311" t="s">
        <v>4897</v>
      </c>
      <c r="B894">
        <f>IF(ISBLANK(NeoDataInfB!$B$87),"",NeoDataInfB!$B$87)</f>
        <v>1</v>
      </c>
      <c r="C894" s="17">
        <v>1</v>
      </c>
    </row>
    <row r="895" spans="1:3" x14ac:dyDescent="0.2">
      <c r="A895" s="311" t="s">
        <v>4898</v>
      </c>
      <c r="B895">
        <f>IF(ISBLANK(NeoDataInfB!$B$88),"",NeoDataInfB!$B$88)</f>
        <v>1</v>
      </c>
      <c r="C895" s="17">
        <v>1</v>
      </c>
    </row>
    <row r="896" spans="1:3" x14ac:dyDescent="0.2">
      <c r="A896" s="311" t="s">
        <v>4899</v>
      </c>
      <c r="B896">
        <f>IF(ISBLANK(NeoDataInfB!$B$89),"",NeoDataInfB!$B$89)</f>
        <v>1</v>
      </c>
      <c r="C896" s="17">
        <v>1</v>
      </c>
    </row>
    <row r="897" spans="1:3" x14ac:dyDescent="0.2">
      <c r="A897" s="311" t="s">
        <v>4900</v>
      </c>
      <c r="B897" s="311">
        <f>IF(ISBLANK(NeoDataInfB!$B$90),"",NeoDataInfB!$B$90)</f>
        <v>1</v>
      </c>
      <c r="C897" s="17">
        <v>1</v>
      </c>
    </row>
    <row r="898" spans="1:3" x14ac:dyDescent="0.2">
      <c r="A898" s="311" t="s">
        <v>4901</v>
      </c>
      <c r="B898" s="311">
        <f>IF(ISBLANK(NeoDataInfB!$B$91),"",NeoDataInfB!$B$91)</f>
        <v>1</v>
      </c>
      <c r="C898">
        <v>1</v>
      </c>
    </row>
    <row r="899" spans="1:3" x14ac:dyDescent="0.2">
      <c r="A899" s="311" t="s">
        <v>4902</v>
      </c>
      <c r="B899" s="311">
        <f>IF(ISBLANK(NeoDataInfB!$B$92),"",NeoDataInfB!$B$92)</f>
        <v>5000</v>
      </c>
      <c r="C899">
        <v>5000</v>
      </c>
    </row>
    <row r="900" spans="1:3" x14ac:dyDescent="0.2">
      <c r="A900" s="311" t="s">
        <v>4903</v>
      </c>
      <c r="B900" s="311">
        <f>IF(ISBLANK(NeoDataInfB!$B$93),"",NeoDataInfB!$B$93)</f>
        <v>1</v>
      </c>
      <c r="C900">
        <v>1</v>
      </c>
    </row>
    <row r="901" spans="1:3" x14ac:dyDescent="0.2">
      <c r="A901" s="311" t="s">
        <v>4904</v>
      </c>
      <c r="B901" s="311">
        <f>IF(ISBLANK(NeoDataInfB!$B$94),"",NeoDataInfB!$B$94)</f>
        <v>2</v>
      </c>
      <c r="C901">
        <v>2</v>
      </c>
    </row>
    <row r="902" spans="1:3" x14ac:dyDescent="0.2">
      <c r="A902" s="311" t="s">
        <v>4905</v>
      </c>
      <c r="B902" s="311">
        <f>IF(ISBLANK(NeoDataInfB!$B$95),"",NeoDataInfB!$B$95)</f>
        <v>2</v>
      </c>
      <c r="C902">
        <v>2</v>
      </c>
    </row>
    <row r="903" spans="1:3" x14ac:dyDescent="0.2">
      <c r="A903" s="311" t="s">
        <v>4906</v>
      </c>
      <c r="B903" s="311">
        <f>IF(ISBLANK(NeoDataInfB!$B$96),"",NeoDataInfB!$B$96)</f>
        <v>5000</v>
      </c>
      <c r="C903">
        <v>5000</v>
      </c>
    </row>
    <row r="904" spans="1:3" x14ac:dyDescent="0.2">
      <c r="A904" s="311" t="s">
        <v>4907</v>
      </c>
      <c r="B904" s="311">
        <f>IF(ISBLANK(NeoDataInfB!$B$97),"",NeoDataInfB!$B$97)</f>
        <v>5000</v>
      </c>
      <c r="C904">
        <v>5000</v>
      </c>
    </row>
    <row r="905" spans="1:3" x14ac:dyDescent="0.2">
      <c r="A905" s="311" t="s">
        <v>4908</v>
      </c>
      <c r="B905" s="311">
        <f>IF(ISBLANK(NeoDataInfB!$B$98),"",NeoDataInfB!$B$98)</f>
        <v>1</v>
      </c>
      <c r="C905">
        <v>1</v>
      </c>
    </row>
    <row r="906" spans="1:3" x14ac:dyDescent="0.2">
      <c r="A906" s="311" t="s">
        <v>4909</v>
      </c>
      <c r="B906">
        <f>IF(ISBLANK(NeoDataInfB!$B$99),"",NeoDataInfB!$B$99)</f>
        <v>5000</v>
      </c>
      <c r="C906">
        <v>5000</v>
      </c>
    </row>
    <row r="907" spans="1:3" x14ac:dyDescent="0.2">
      <c r="A907" s="311" t="s">
        <v>4910</v>
      </c>
      <c r="B907">
        <f>IF(ISBLANK(NeoDataInfB!$B$100),"",NeoDataInfB!$B$100)</f>
        <v>5000</v>
      </c>
      <c r="C907">
        <v>5000</v>
      </c>
    </row>
    <row r="908" spans="1:3" x14ac:dyDescent="0.2">
      <c r="A908" s="311" t="s">
        <v>4911</v>
      </c>
      <c r="B908">
        <f>IF(ISBLANK(NeoDataInfB!$B$101),"",NeoDataInfB!$B$101)</f>
        <v>5000</v>
      </c>
      <c r="C908">
        <v>5000</v>
      </c>
    </row>
    <row r="909" spans="1:3" x14ac:dyDescent="0.2">
      <c r="A909" s="311" t="s">
        <v>4912</v>
      </c>
      <c r="B909">
        <f>IF(ISBLANK(NeoDataInfB!$B$102),"",NeoDataInfB!$B$102)</f>
        <v>5000</v>
      </c>
      <c r="C909">
        <v>5000</v>
      </c>
    </row>
    <row r="910" spans="1:3" x14ac:dyDescent="0.2">
      <c r="A910" s="311" t="s">
        <v>4913</v>
      </c>
      <c r="B910" t="b">
        <f>IF(ISBLANK(NeoDataInfB!$B$103),"",NeoDataInfB!$B$103)</f>
        <v>0</v>
      </c>
      <c r="C910" t="b">
        <v>0</v>
      </c>
    </row>
    <row r="911" spans="1:3" x14ac:dyDescent="0.2">
      <c r="A911" s="311" t="s">
        <v>4914</v>
      </c>
      <c r="B911">
        <f>IF(ISBLANK(NeoDataInfB!$B$104),"",NeoDataInfB!$B$104)</f>
        <v>5000</v>
      </c>
      <c r="C911">
        <v>5000</v>
      </c>
    </row>
    <row r="912" spans="1:3" x14ac:dyDescent="0.2">
      <c r="A912" s="311" t="s">
        <v>4915</v>
      </c>
      <c r="B912">
        <f>IF(ISBLANK(NeoDataInfB!$B$105),"",NeoDataInfB!$B$105)</f>
        <v>5000</v>
      </c>
      <c r="C912">
        <v>5000</v>
      </c>
    </row>
    <row r="913" spans="1:3" x14ac:dyDescent="0.2">
      <c r="A913" s="311" t="s">
        <v>4916</v>
      </c>
      <c r="B913">
        <f>IF(ISBLANK(NeoDataInfB!$B$106),"",NeoDataInfB!$B$106)</f>
        <v>5000</v>
      </c>
      <c r="C913">
        <v>5000</v>
      </c>
    </row>
    <row r="914" spans="1:3" x14ac:dyDescent="0.2">
      <c r="A914" s="311" t="s">
        <v>2741</v>
      </c>
      <c r="B914" t="b">
        <f>IF(ISBLANK(NeoBerLab!$M$4),"",NeoBerLab!$M$4)</f>
        <v>0</v>
      </c>
      <c r="C914" t="b">
        <v>0</v>
      </c>
    </row>
    <row r="915" spans="1:3" x14ac:dyDescent="0.2">
      <c r="A915" s="311" t="s">
        <v>2742</v>
      </c>
      <c r="B915" t="b">
        <f>IF(ISBLANK(NeoBerLab!$M$5),"",NeoBerLab!$M$5)</f>
        <v>0</v>
      </c>
      <c r="C915" s="311" t="b">
        <v>0</v>
      </c>
    </row>
    <row r="916" spans="1:3" x14ac:dyDescent="0.2">
      <c r="A916" s="311" t="s">
        <v>2743</v>
      </c>
      <c r="B916" t="b">
        <f>IF(ISBLANK(NeoBerLab!$M$6),"",NeoBerLab!$M$6)</f>
        <v>0</v>
      </c>
      <c r="C916" s="311" t="b">
        <v>0</v>
      </c>
    </row>
    <row r="917" spans="1:3" x14ac:dyDescent="0.2">
      <c r="A917" s="311" t="s">
        <v>2744</v>
      </c>
      <c r="B917" t="b">
        <f>IF(ISBLANK(NeoBerLab!$M$7),"",NeoBerLab!$M$7)</f>
        <v>0</v>
      </c>
      <c r="C917" s="311" t="b">
        <v>0</v>
      </c>
    </row>
    <row r="918" spans="1:3" x14ac:dyDescent="0.2">
      <c r="A918" s="311" t="s">
        <v>2745</v>
      </c>
      <c r="B918" t="b">
        <f>IF(ISBLANK(NeoBerLab!$M$8),"",NeoBerLab!$M$8)</f>
        <v>0</v>
      </c>
      <c r="C918" s="311" t="b">
        <v>0</v>
      </c>
    </row>
    <row r="919" spans="1:3" x14ac:dyDescent="0.2">
      <c r="A919" s="311" t="s">
        <v>2746</v>
      </c>
      <c r="B919" t="b">
        <f>IF(ISBLANK(NeoBerLab!$M$9),"",NeoBerLab!$M$9)</f>
        <v>0</v>
      </c>
      <c r="C919" s="311" t="b">
        <v>0</v>
      </c>
    </row>
    <row r="920" spans="1:3" x14ac:dyDescent="0.2">
      <c r="A920" s="311" t="s">
        <v>2747</v>
      </c>
      <c r="B920" t="b">
        <f>IF(ISBLANK(NeoBerLab!$M$10),"",NeoBerLab!$M$10)</f>
        <v>0</v>
      </c>
      <c r="C920" s="311" t="b">
        <v>0</v>
      </c>
    </row>
    <row r="921" spans="1:3" s="311" customFormat="1" x14ac:dyDescent="0.2">
      <c r="A921" s="311" t="s">
        <v>2748</v>
      </c>
      <c r="B921" t="b">
        <f>IF(ISBLANK(NeoBerLab!$M$11),"",NeoBerLab!$M$11)</f>
        <v>0</v>
      </c>
      <c r="C921" s="311" t="b">
        <v>0</v>
      </c>
    </row>
    <row r="922" spans="1:3" x14ac:dyDescent="0.2">
      <c r="A922" s="311" t="s">
        <v>2749</v>
      </c>
      <c r="B922" t="b">
        <f>IF(ISBLANK(NeoBerLab!$M$12),"",NeoBerLab!$M$12)</f>
        <v>0</v>
      </c>
      <c r="C922" s="311" t="b">
        <v>0</v>
      </c>
    </row>
    <row r="923" spans="1:3" x14ac:dyDescent="0.2">
      <c r="A923" s="311" t="s">
        <v>2750</v>
      </c>
      <c r="B923" t="b">
        <f>IF(ISBLANK(NeoBerLab!$M$13),"",NeoBerLab!$M$13)</f>
        <v>0</v>
      </c>
      <c r="C923" s="311" t="b">
        <v>0</v>
      </c>
    </row>
    <row r="924" spans="1:3" x14ac:dyDescent="0.2">
      <c r="A924" s="311" t="s">
        <v>2751</v>
      </c>
      <c r="B924" t="b">
        <f>IF(ISBLANK(NeoBerLab!$M$14),"",NeoBerLab!$M$14)</f>
        <v>0</v>
      </c>
      <c r="C924" s="311" t="b">
        <v>0</v>
      </c>
    </row>
    <row r="925" spans="1:3" x14ac:dyDescent="0.2">
      <c r="A925" s="311" t="s">
        <v>2752</v>
      </c>
      <c r="B925" t="b">
        <f>IF(ISBLANK(NeoBerLab!$M$15),"",NeoBerLab!$M$15)</f>
        <v>0</v>
      </c>
      <c r="C925" s="311" t="b">
        <v>0</v>
      </c>
    </row>
    <row r="926" spans="1:3" x14ac:dyDescent="0.2">
      <c r="A926" s="311" t="s">
        <v>2753</v>
      </c>
      <c r="B926" t="b">
        <f>IF(ISBLANK(NeoBerLab!$M$16),"",NeoBerLab!$M$16)</f>
        <v>0</v>
      </c>
      <c r="C926" s="311" t="b">
        <v>0</v>
      </c>
    </row>
    <row r="927" spans="1:3" x14ac:dyDescent="0.2">
      <c r="A927" s="311" t="s">
        <v>2754</v>
      </c>
      <c r="B927" t="b">
        <f>IF(ISBLANK(NeoBerLab!$M$17),"",NeoBerLab!$M$17)</f>
        <v>0</v>
      </c>
      <c r="C927" s="311" t="b">
        <v>0</v>
      </c>
    </row>
    <row r="928" spans="1:3" x14ac:dyDescent="0.2">
      <c r="A928" s="311" t="s">
        <v>2755</v>
      </c>
      <c r="B928" t="b">
        <f>IF(ISBLANK(NeoBerLab!$M$18),"",NeoBerLab!$M$18)</f>
        <v>0</v>
      </c>
      <c r="C928" s="311" t="b">
        <v>0</v>
      </c>
    </row>
    <row r="929" spans="1:3" x14ac:dyDescent="0.2">
      <c r="A929" s="311" t="s">
        <v>2756</v>
      </c>
      <c r="B929" t="b">
        <f>IF(ISBLANK(NeoBerLab!$M$19),"",NeoBerLab!$M$19)</f>
        <v>0</v>
      </c>
      <c r="C929" s="311" t="b">
        <v>0</v>
      </c>
    </row>
    <row r="930" spans="1:3" x14ac:dyDescent="0.2">
      <c r="A930" s="311" t="s">
        <v>2757</v>
      </c>
      <c r="B930" t="b">
        <f>IF(ISBLANK(NeoBerLab!$M$20),"",NeoBerLab!$M$20)</f>
        <v>0</v>
      </c>
      <c r="C930" s="311" t="b">
        <v>0</v>
      </c>
    </row>
    <row r="931" spans="1:3" x14ac:dyDescent="0.2">
      <c r="A931" s="311" t="s">
        <v>2758</v>
      </c>
      <c r="B931" t="b">
        <f>IF(ISBLANK(NeoBerLab!$M$21),"",NeoBerLab!$M$21)</f>
        <v>0</v>
      </c>
      <c r="C931" s="311" t="b">
        <v>0</v>
      </c>
    </row>
    <row r="932" spans="1:3" x14ac:dyDescent="0.2">
      <c r="A932" s="311" t="s">
        <v>2759</v>
      </c>
      <c r="B932" t="b">
        <f>IF(ISBLANK(NeoBerLab!$M$22),"",NeoBerLab!$M$22)</f>
        <v>0</v>
      </c>
      <c r="C932" s="311" t="b">
        <v>0</v>
      </c>
    </row>
    <row r="933" spans="1:3" s="311" customFormat="1" x14ac:dyDescent="0.2">
      <c r="A933" s="311" t="s">
        <v>2760</v>
      </c>
      <c r="B933" t="b">
        <f>IF(ISBLANK(NeoBerLab!$M$23),"",NeoBerLab!$M$23)</f>
        <v>0</v>
      </c>
      <c r="C933" s="311" t="b">
        <v>0</v>
      </c>
    </row>
    <row r="934" spans="1:3" x14ac:dyDescent="0.2">
      <c r="A934" s="311" t="s">
        <v>2761</v>
      </c>
      <c r="B934" t="b">
        <f>IF(ISBLANK(NeoBerLab!$M$24),"",NeoBerLab!$M$24)</f>
        <v>0</v>
      </c>
      <c r="C934" s="311" t="b">
        <v>0</v>
      </c>
    </row>
    <row r="935" spans="1:3" x14ac:dyDescent="0.2">
      <c r="A935" s="311" t="s">
        <v>2762</v>
      </c>
      <c r="B935" t="b">
        <f>IF(ISBLANK(NeoBerLab!$M$25),"",NeoBerLab!$M$25)</f>
        <v>0</v>
      </c>
      <c r="C935" s="311" t="b">
        <v>0</v>
      </c>
    </row>
    <row r="936" spans="1:3" x14ac:dyDescent="0.2">
      <c r="A936" s="311" t="s">
        <v>2763</v>
      </c>
      <c r="B936" t="b">
        <f>IF(ISBLANK(NeoBerLab!$M$26),"",NeoBerLab!$M$26)</f>
        <v>0</v>
      </c>
      <c r="C936" s="311" t="b">
        <v>0</v>
      </c>
    </row>
    <row r="937" spans="1:3" x14ac:dyDescent="0.2">
      <c r="A937" s="311" t="s">
        <v>2764</v>
      </c>
      <c r="B937" t="b">
        <f>IF(ISBLANK(NeoBerLab!$M$27),"",NeoBerLab!$M$27)</f>
        <v>0</v>
      </c>
      <c r="C937" s="311" t="b">
        <v>0</v>
      </c>
    </row>
    <row r="938" spans="1:3" x14ac:dyDescent="0.2">
      <c r="A938" s="311" t="s">
        <v>2765</v>
      </c>
      <c r="B938" t="b">
        <f>IF(ISBLANK(NeoBerLab!$M$28),"",NeoBerLab!$M$28)</f>
        <v>0</v>
      </c>
      <c r="C938" s="311" t="b">
        <v>0</v>
      </c>
    </row>
    <row r="939" spans="1:3" x14ac:dyDescent="0.2">
      <c r="A939" s="311" t="s">
        <v>2766</v>
      </c>
      <c r="B939" t="b">
        <f>IF(ISBLANK(NeoBerLab!$M$29),"",NeoBerLab!$M$29)</f>
        <v>0</v>
      </c>
      <c r="C939" s="311" t="b">
        <v>0</v>
      </c>
    </row>
    <row r="940" spans="1:3" x14ac:dyDescent="0.2">
      <c r="A940" s="311" t="s">
        <v>2767</v>
      </c>
      <c r="B940" t="b">
        <f>IF(ISBLANK(NeoBerLab!$M$30),"",NeoBerLab!$M$30)</f>
        <v>0</v>
      </c>
      <c r="C940" s="311" t="b">
        <v>0</v>
      </c>
    </row>
    <row r="941" spans="1:3" x14ac:dyDescent="0.2">
      <c r="A941" s="311" t="s">
        <v>2768</v>
      </c>
      <c r="B941" t="b">
        <f>IF(ISBLANK(NeoBerLab!$M$31),"",NeoBerLab!$M$31)</f>
        <v>0</v>
      </c>
      <c r="C941" s="311" t="b">
        <v>0</v>
      </c>
    </row>
    <row r="942" spans="1:3" x14ac:dyDescent="0.2">
      <c r="A942" s="311" t="s">
        <v>2769</v>
      </c>
      <c r="B942" t="b">
        <f>IF(ISBLANK(NeoBerLab!$M$32),"",NeoBerLab!$M$32)</f>
        <v>0</v>
      </c>
      <c r="C942" s="311" t="b">
        <v>0</v>
      </c>
    </row>
    <row r="943" spans="1:3" x14ac:dyDescent="0.2">
      <c r="A943" s="311" t="s">
        <v>2770</v>
      </c>
      <c r="B943" t="b">
        <f>IF(ISBLANK(NeoBerLab!$M$33),"",NeoBerLab!$M$33)</f>
        <v>0</v>
      </c>
      <c r="C943" s="311" t="b">
        <v>0</v>
      </c>
    </row>
    <row r="944" spans="1:3" x14ac:dyDescent="0.2">
      <c r="A944" s="311" t="s">
        <v>2771</v>
      </c>
      <c r="B944" t="b">
        <f>IF(ISBLANK(NeoBerLab!$M$34),"",NeoBerLab!$M$34)</f>
        <v>0</v>
      </c>
      <c r="C944" s="311" t="b">
        <v>0</v>
      </c>
    </row>
    <row r="945" spans="1:3" x14ac:dyDescent="0.2">
      <c r="A945" s="311" t="s">
        <v>2772</v>
      </c>
      <c r="B945" t="b">
        <f>IF(ISBLANK(NeoBerLab!$E$4),"",NeoBerLab!$E$4)</f>
        <v>0</v>
      </c>
      <c r="C945" s="311" t="b">
        <v>0</v>
      </c>
    </row>
    <row r="946" spans="1:3" x14ac:dyDescent="0.2">
      <c r="A946" s="311" t="s">
        <v>2773</v>
      </c>
      <c r="B946" t="b">
        <f>IF(ISBLANK(NeoBerLab!$E$5),"",NeoBerLab!$E$5)</f>
        <v>0</v>
      </c>
      <c r="C946" s="311" t="b">
        <v>0</v>
      </c>
    </row>
    <row r="947" spans="1:3" x14ac:dyDescent="0.2">
      <c r="A947" s="311" t="s">
        <v>2774</v>
      </c>
      <c r="B947" t="b">
        <f>IF(ISBLANK(NeoBerLab!$E$6),"",NeoBerLab!$E$6)</f>
        <v>0</v>
      </c>
      <c r="C947" s="311" t="b">
        <v>0</v>
      </c>
    </row>
    <row r="948" spans="1:3" x14ac:dyDescent="0.2">
      <c r="A948" s="311" t="s">
        <v>2775</v>
      </c>
      <c r="B948" t="b">
        <f>IF(ISBLANK(NeoBerLab!$E$7),"",NeoBerLab!$E$7)</f>
        <v>0</v>
      </c>
      <c r="C948" s="311" t="b">
        <v>0</v>
      </c>
    </row>
    <row r="949" spans="1:3" x14ac:dyDescent="0.2">
      <c r="A949" s="311" t="s">
        <v>2776</v>
      </c>
      <c r="B949" t="b">
        <f>IF(ISBLANK(NeoBerLab!$E$8),"",NeoBerLab!$E$8)</f>
        <v>0</v>
      </c>
      <c r="C949" s="311" t="b">
        <v>0</v>
      </c>
    </row>
    <row r="950" spans="1:3" x14ac:dyDescent="0.2">
      <c r="A950" s="311" t="s">
        <v>2777</v>
      </c>
      <c r="B950" t="b">
        <f>IF(ISBLANK(NeoBerLab!$E$9),"",NeoBerLab!$E$9)</f>
        <v>0</v>
      </c>
      <c r="C950" s="311" t="b">
        <v>0</v>
      </c>
    </row>
    <row r="951" spans="1:3" x14ac:dyDescent="0.2">
      <c r="A951" s="311" t="s">
        <v>2778</v>
      </c>
      <c r="B951" t="b">
        <f>IF(ISBLANK(NeoBerLab!$E$10),"",NeoBerLab!$E$10)</f>
        <v>0</v>
      </c>
      <c r="C951" s="311" t="b">
        <v>0</v>
      </c>
    </row>
    <row r="952" spans="1:3" x14ac:dyDescent="0.2">
      <c r="A952" s="311" t="s">
        <v>2779</v>
      </c>
      <c r="B952" t="b">
        <f>IF(ISBLANK(NeoBerLab!$E$11),"",NeoBerLab!$E$11)</f>
        <v>0</v>
      </c>
      <c r="C952" s="311" t="b">
        <v>0</v>
      </c>
    </row>
    <row r="953" spans="1:3" x14ac:dyDescent="0.2">
      <c r="A953" s="311" t="s">
        <v>2780</v>
      </c>
      <c r="B953" t="b">
        <f>IF(ISBLANK(NeoBerLab!$E$12),"",NeoBerLab!$E$12)</f>
        <v>0</v>
      </c>
      <c r="C953" s="311" t="b">
        <v>0</v>
      </c>
    </row>
    <row r="954" spans="1:3" x14ac:dyDescent="0.2">
      <c r="A954" s="311" t="s">
        <v>2781</v>
      </c>
      <c r="B954" t="b">
        <f>IF(ISBLANK(NeoBerLab!$E$13),"",NeoBerLab!$E$13)</f>
        <v>0</v>
      </c>
      <c r="C954" s="311" t="b">
        <v>0</v>
      </c>
    </row>
    <row r="955" spans="1:3" x14ac:dyDescent="0.2">
      <c r="A955" s="311" t="s">
        <v>2782</v>
      </c>
      <c r="B955" t="b">
        <f>IF(ISBLANK(NeoBerLab!$E$14),"",NeoBerLab!$E$14)</f>
        <v>0</v>
      </c>
      <c r="C955" s="311" t="b">
        <v>0</v>
      </c>
    </row>
    <row r="956" spans="1:3" x14ac:dyDescent="0.2">
      <c r="A956" s="311" t="s">
        <v>2783</v>
      </c>
      <c r="B956" t="b">
        <f>IF(ISBLANK(NeoBerLab!$E$15),"",NeoBerLab!$E$15)</f>
        <v>0</v>
      </c>
      <c r="C956" s="311" t="b">
        <v>0</v>
      </c>
    </row>
    <row r="957" spans="1:3" x14ac:dyDescent="0.2">
      <c r="A957" s="311" t="s">
        <v>2784</v>
      </c>
      <c r="B957" t="b">
        <f>IF(ISBLANK(NeoBerLab!$E$16),"",NeoBerLab!$E$16)</f>
        <v>0</v>
      </c>
      <c r="C957" s="311" t="b">
        <v>0</v>
      </c>
    </row>
    <row r="958" spans="1:3" x14ac:dyDescent="0.2">
      <c r="A958" s="311" t="s">
        <v>2785</v>
      </c>
      <c r="B958" t="b">
        <f>IF(ISBLANK(NeoBerLab!$E$17),"",NeoBerLab!$E$17)</f>
        <v>0</v>
      </c>
      <c r="C958" s="311" t="b">
        <v>0</v>
      </c>
    </row>
    <row r="959" spans="1:3" x14ac:dyDescent="0.2">
      <c r="A959" s="311" t="s">
        <v>2786</v>
      </c>
      <c r="B959" t="b">
        <f>IF(ISBLANK(NeoBerLab!$E$18),"",NeoBerLab!$E$18)</f>
        <v>0</v>
      </c>
      <c r="C959" s="311" t="b">
        <v>0</v>
      </c>
    </row>
    <row r="960" spans="1:3" x14ac:dyDescent="0.2">
      <c r="A960" s="311" t="s">
        <v>2787</v>
      </c>
      <c r="B960" t="b">
        <f>IF(ISBLANK(NeoBerLab!$E$19),"",NeoBerLab!$E$19)</f>
        <v>0</v>
      </c>
      <c r="C960" s="311" t="b">
        <v>0</v>
      </c>
    </row>
    <row r="961" spans="1:3" x14ac:dyDescent="0.2">
      <c r="A961" s="311" t="s">
        <v>2788</v>
      </c>
      <c r="B961" t="b">
        <f>IF(ISBLANK(NeoBerLab!$E$20),"",NeoBerLab!$E$20)</f>
        <v>0</v>
      </c>
      <c r="C961" s="311" t="b">
        <v>0</v>
      </c>
    </row>
    <row r="962" spans="1:3" x14ac:dyDescent="0.2">
      <c r="A962" s="311" t="s">
        <v>2789</v>
      </c>
      <c r="B962" t="b">
        <f>IF(ISBLANK(NeoBerLab!$E$21),"",NeoBerLab!$E$21)</f>
        <v>0</v>
      </c>
      <c r="C962" s="311" t="b">
        <v>0</v>
      </c>
    </row>
    <row r="963" spans="1:3" x14ac:dyDescent="0.2">
      <c r="A963" s="311" t="s">
        <v>2790</v>
      </c>
      <c r="B963" t="b">
        <f>IF(ISBLANK(NeoBerLab!$E$22),"",NeoBerLab!$E$22)</f>
        <v>0</v>
      </c>
      <c r="C963" s="311" t="b">
        <v>0</v>
      </c>
    </row>
    <row r="964" spans="1:3" x14ac:dyDescent="0.2">
      <c r="A964" s="311" t="s">
        <v>2791</v>
      </c>
      <c r="B964" t="b">
        <f>IF(ISBLANK(NeoBerLab!$E$23),"",NeoBerLab!$E$23)</f>
        <v>0</v>
      </c>
      <c r="C964" s="311" t="b">
        <v>0</v>
      </c>
    </row>
    <row r="965" spans="1:3" x14ac:dyDescent="0.2">
      <c r="A965" s="311" t="s">
        <v>2792</v>
      </c>
      <c r="B965" t="b">
        <f>IF(ISBLANK(NeoBerLab!$E$24),"",NeoBerLab!$E$24)</f>
        <v>0</v>
      </c>
      <c r="C965" s="311" t="b">
        <v>0</v>
      </c>
    </row>
    <row r="966" spans="1:3" x14ac:dyDescent="0.2">
      <c r="A966" s="311" t="s">
        <v>2793</v>
      </c>
      <c r="B966" t="b">
        <f>IF(ISBLANK(NeoBerLab!$E$25),"",NeoBerLab!$E$25)</f>
        <v>0</v>
      </c>
      <c r="C966" s="311" t="b">
        <v>0</v>
      </c>
    </row>
    <row r="967" spans="1:3" x14ac:dyDescent="0.2">
      <c r="A967" s="311" t="s">
        <v>2794</v>
      </c>
      <c r="B967" t="b">
        <f>IF(ISBLANK(NeoBerLab!$E$26),"",NeoBerLab!$E$26)</f>
        <v>0</v>
      </c>
      <c r="C967" s="311" t="b">
        <v>0</v>
      </c>
    </row>
    <row r="968" spans="1:3" x14ac:dyDescent="0.2">
      <c r="A968" s="311" t="s">
        <v>2795</v>
      </c>
      <c r="B968" t="b">
        <f>IF(ISBLANK(NeoBerLab!$E$27),"",NeoBerLab!$E$27)</f>
        <v>0</v>
      </c>
      <c r="C968" s="311" t="b">
        <v>0</v>
      </c>
    </row>
    <row r="969" spans="1:3" x14ac:dyDescent="0.2">
      <c r="A969" s="311" t="s">
        <v>2796</v>
      </c>
      <c r="B969" t="b">
        <f>IF(ISBLANK(NeoBerLab!$E$28),"",NeoBerLab!$E$28)</f>
        <v>0</v>
      </c>
      <c r="C969" s="311" t="b">
        <v>0</v>
      </c>
    </row>
    <row r="970" spans="1:3" x14ac:dyDescent="0.2">
      <c r="A970" s="311" t="s">
        <v>2797</v>
      </c>
      <c r="B970" t="b">
        <f>IF(ISBLANK(NeoBerLab!$E$29),"",NeoBerLab!$E$29)</f>
        <v>0</v>
      </c>
      <c r="C970" s="311" t="b">
        <v>0</v>
      </c>
    </row>
    <row r="971" spans="1:3" x14ac:dyDescent="0.2">
      <c r="A971" s="311" t="s">
        <v>2798</v>
      </c>
      <c r="B971" t="b">
        <f>IF(ISBLANK(NeoBerLab!$E$30),"",NeoBerLab!$E$30)</f>
        <v>0</v>
      </c>
      <c r="C971" s="311" t="b">
        <v>0</v>
      </c>
    </row>
    <row r="972" spans="1:3" x14ac:dyDescent="0.2">
      <c r="A972" s="311" t="s">
        <v>2799</v>
      </c>
      <c r="B972" t="b">
        <f>IF(ISBLANK(NeoBerLab!$E$31),"",NeoBerLab!$E$31)</f>
        <v>0</v>
      </c>
      <c r="C972" s="311" t="b">
        <v>0</v>
      </c>
    </row>
    <row r="973" spans="1:3" x14ac:dyDescent="0.2">
      <c r="A973" s="311" t="s">
        <v>2800</v>
      </c>
      <c r="B973" t="b">
        <f>IF(ISBLANK(NeoBerLab!$E$32),"",NeoBerLab!$E$32)</f>
        <v>0</v>
      </c>
      <c r="C973" s="311" t="b">
        <v>0</v>
      </c>
    </row>
    <row r="974" spans="1:3" x14ac:dyDescent="0.2">
      <c r="A974" s="311" t="s">
        <v>2801</v>
      </c>
      <c r="B974" t="b">
        <f>IF(ISBLANK(NeoBerLab!$E$33),"",NeoBerLab!$E$33)</f>
        <v>0</v>
      </c>
      <c r="C974" s="311" t="b">
        <v>0</v>
      </c>
    </row>
    <row r="975" spans="1:3" x14ac:dyDescent="0.2">
      <c r="A975" s="311" t="s">
        <v>2802</v>
      </c>
      <c r="B975" t="b">
        <f>IF(ISBLANK(NeoBerLab!$E$34),"",NeoBerLab!$E$34)</f>
        <v>0</v>
      </c>
      <c r="C975" s="311" t="b">
        <v>0</v>
      </c>
    </row>
    <row r="976" spans="1:3" x14ac:dyDescent="0.2">
      <c r="A976" s="311" t="s">
        <v>2803</v>
      </c>
      <c r="B976" t="b">
        <f>IF(ISBLANK(NeoBerLab!$G$4),"",NeoBerLab!$G$4)</f>
        <v>0</v>
      </c>
      <c r="C976" s="311" t="b">
        <v>0</v>
      </c>
    </row>
    <row r="977" spans="1:3" x14ac:dyDescent="0.2">
      <c r="A977" s="311" t="s">
        <v>2804</v>
      </c>
      <c r="B977" t="b">
        <f>IF(ISBLANK(NeoBerLab!$G$5),"",NeoBerLab!$G$5)</f>
        <v>0</v>
      </c>
      <c r="C977" s="311" t="b">
        <v>0</v>
      </c>
    </row>
    <row r="978" spans="1:3" x14ac:dyDescent="0.2">
      <c r="A978" s="311" t="s">
        <v>2805</v>
      </c>
      <c r="B978" t="b">
        <f>IF(ISBLANK(NeoBerLab!$G$6),"",NeoBerLab!$G$6)</f>
        <v>0</v>
      </c>
      <c r="C978" s="311" t="b">
        <v>0</v>
      </c>
    </row>
    <row r="979" spans="1:3" x14ac:dyDescent="0.2">
      <c r="A979" s="311" t="s">
        <v>2806</v>
      </c>
      <c r="B979" t="b">
        <f>IF(ISBLANK(NeoBerLab!$G$7),"",NeoBerLab!$G$7)</f>
        <v>0</v>
      </c>
      <c r="C979" s="311" t="b">
        <v>0</v>
      </c>
    </row>
    <row r="980" spans="1:3" x14ac:dyDescent="0.2">
      <c r="A980" s="311" t="s">
        <v>2807</v>
      </c>
      <c r="B980" t="b">
        <f>IF(ISBLANK(NeoBerLab!$G$8),"",NeoBerLab!$G$8)</f>
        <v>0</v>
      </c>
      <c r="C980" s="311" t="b">
        <v>0</v>
      </c>
    </row>
    <row r="981" spans="1:3" x14ac:dyDescent="0.2">
      <c r="A981" s="311" t="s">
        <v>2808</v>
      </c>
      <c r="B981" t="b">
        <f>IF(ISBLANK(NeoBerLab!$G$9),"",NeoBerLab!$G$9)</f>
        <v>0</v>
      </c>
      <c r="C981" s="311" t="b">
        <v>0</v>
      </c>
    </row>
    <row r="982" spans="1:3" s="311" customFormat="1" x14ac:dyDescent="0.2">
      <c r="A982" s="311" t="s">
        <v>2809</v>
      </c>
      <c r="B982" t="b">
        <f>IF(ISBLANK(NeoBerLab!$G$10),"",NeoBerLab!$G$10)</f>
        <v>0</v>
      </c>
      <c r="C982" s="311" t="b">
        <v>0</v>
      </c>
    </row>
    <row r="983" spans="1:3" x14ac:dyDescent="0.2">
      <c r="A983" s="311" t="s">
        <v>2810</v>
      </c>
      <c r="B983" t="b">
        <f>IF(ISBLANK(NeoBerLab!$G$11),"",NeoBerLab!$G$11)</f>
        <v>0</v>
      </c>
      <c r="C983" s="311" t="b">
        <v>0</v>
      </c>
    </row>
    <row r="984" spans="1:3" x14ac:dyDescent="0.2">
      <c r="A984" s="311" t="s">
        <v>2811</v>
      </c>
      <c r="B984" t="b">
        <f>IF(ISBLANK(NeoBerLab!$G$12),"",NeoBerLab!$G$12)</f>
        <v>0</v>
      </c>
      <c r="C984" s="311" t="b">
        <v>0</v>
      </c>
    </row>
    <row r="985" spans="1:3" x14ac:dyDescent="0.2">
      <c r="A985" s="311" t="s">
        <v>2812</v>
      </c>
      <c r="B985" t="b">
        <f>IF(ISBLANK(NeoBerLab!$G$13),"",NeoBerLab!$G$13)</f>
        <v>0</v>
      </c>
      <c r="C985" s="311" t="b">
        <v>0</v>
      </c>
    </row>
    <row r="986" spans="1:3" x14ac:dyDescent="0.2">
      <c r="A986" s="311" t="s">
        <v>2813</v>
      </c>
      <c r="B986" t="b">
        <f>IF(ISBLANK(NeoBerLab!$G$14),"",NeoBerLab!$G$14)</f>
        <v>0</v>
      </c>
      <c r="C986" s="311" t="b">
        <v>0</v>
      </c>
    </row>
    <row r="987" spans="1:3" x14ac:dyDescent="0.2">
      <c r="A987" s="311" t="s">
        <v>2814</v>
      </c>
      <c r="B987" t="b">
        <f>IF(ISBLANK(NeoBerLab!$G$15),"",NeoBerLab!$G$15)</f>
        <v>0</v>
      </c>
      <c r="C987" s="311" t="b">
        <v>0</v>
      </c>
    </row>
    <row r="988" spans="1:3" x14ac:dyDescent="0.2">
      <c r="A988" s="311" t="s">
        <v>2815</v>
      </c>
      <c r="B988" s="311" t="b">
        <f>IF(ISBLANK(NeoBerLab!$G$16),"",NeoBerLab!$G$16)</f>
        <v>0</v>
      </c>
      <c r="C988" s="311" t="b">
        <v>0</v>
      </c>
    </row>
    <row r="989" spans="1:3" x14ac:dyDescent="0.2">
      <c r="A989" s="311" t="s">
        <v>2816</v>
      </c>
      <c r="B989" t="b">
        <f>IF(ISBLANK(NeoBerLab!$G$17),"",NeoBerLab!$G$17)</f>
        <v>0</v>
      </c>
      <c r="C989" s="311" t="b">
        <v>0</v>
      </c>
    </row>
    <row r="990" spans="1:3" x14ac:dyDescent="0.2">
      <c r="A990" s="311" t="s">
        <v>2817</v>
      </c>
      <c r="B990" t="b">
        <f>IF(ISBLANK(NeoBerLab!$G$18),"",NeoBerLab!$G$18)</f>
        <v>0</v>
      </c>
      <c r="C990" s="311" t="b">
        <v>0</v>
      </c>
    </row>
    <row r="991" spans="1:3" x14ac:dyDescent="0.2">
      <c r="A991" s="311" t="s">
        <v>2818</v>
      </c>
      <c r="B991" s="311" t="b">
        <f>IF(ISBLANK(NeoBerLab!$G$19),"",NeoBerLab!$G$19)</f>
        <v>0</v>
      </c>
      <c r="C991" s="311" t="b">
        <v>0</v>
      </c>
    </row>
    <row r="992" spans="1:3" x14ac:dyDescent="0.2">
      <c r="A992" s="311" t="s">
        <v>2819</v>
      </c>
      <c r="B992" s="311" t="b">
        <f>IF(ISBLANK(NeoBerLab!$G$20),"",NeoBerLab!$G$20)</f>
        <v>0</v>
      </c>
      <c r="C992" s="311" t="b">
        <v>0</v>
      </c>
    </row>
    <row r="993" spans="1:3" x14ac:dyDescent="0.2">
      <c r="A993" s="311" t="s">
        <v>2820</v>
      </c>
      <c r="B993" t="b">
        <f>IF(ISBLANK(NeoBerLab!$G$21),"",NeoBerLab!$G$21)</f>
        <v>0</v>
      </c>
      <c r="C993" s="311" t="b">
        <v>0</v>
      </c>
    </row>
    <row r="994" spans="1:3" x14ac:dyDescent="0.2">
      <c r="A994" s="311" t="s">
        <v>2821</v>
      </c>
      <c r="B994" t="b">
        <f>IF(ISBLANK(NeoBerLab!$G$22),"",NeoBerLab!$G$22)</f>
        <v>0</v>
      </c>
      <c r="C994" s="311" t="b">
        <v>0</v>
      </c>
    </row>
    <row r="995" spans="1:3" x14ac:dyDescent="0.2">
      <c r="A995" s="311" t="s">
        <v>2822</v>
      </c>
      <c r="B995" t="b">
        <f>IF(ISBLANK(NeoBerLab!$G$23),"",NeoBerLab!$G$23)</f>
        <v>0</v>
      </c>
      <c r="C995" s="311" t="b">
        <v>0</v>
      </c>
    </row>
    <row r="996" spans="1:3" x14ac:dyDescent="0.2">
      <c r="A996" s="311" t="s">
        <v>2823</v>
      </c>
      <c r="B996" t="b">
        <f>IF(ISBLANK(NeoBerLab!$G$24),"",NeoBerLab!$G$24)</f>
        <v>0</v>
      </c>
      <c r="C996" s="311" t="b">
        <v>0</v>
      </c>
    </row>
    <row r="997" spans="1:3" x14ac:dyDescent="0.2">
      <c r="A997" s="311" t="s">
        <v>2824</v>
      </c>
      <c r="B997" s="311" t="b">
        <f>IF(ISBLANK(NeoBerLab!$G$25),"",NeoBerLab!$G$25)</f>
        <v>0</v>
      </c>
      <c r="C997" s="311" t="b">
        <v>0</v>
      </c>
    </row>
    <row r="998" spans="1:3" x14ac:dyDescent="0.2">
      <c r="A998" s="311" t="s">
        <v>2825</v>
      </c>
      <c r="B998" s="311" t="b">
        <f>IF(ISBLANK(NeoBerLab!$G$26),"",NeoBerLab!$G$26)</f>
        <v>0</v>
      </c>
      <c r="C998" s="311" t="b">
        <v>0</v>
      </c>
    </row>
    <row r="999" spans="1:3" x14ac:dyDescent="0.2">
      <c r="A999" s="311" t="s">
        <v>2826</v>
      </c>
      <c r="B999" t="b">
        <f>IF(ISBLANK(NeoBerLab!$G$27),"",NeoBerLab!$G$27)</f>
        <v>0</v>
      </c>
      <c r="C999" s="311" t="b">
        <v>0</v>
      </c>
    </row>
    <row r="1000" spans="1:3" x14ac:dyDescent="0.2">
      <c r="A1000" s="311" t="s">
        <v>2827</v>
      </c>
      <c r="B1000" t="b">
        <f>IF(ISBLANK(NeoBerLab!$G$28),"",NeoBerLab!$G$28)</f>
        <v>0</v>
      </c>
      <c r="C1000" s="311" t="b">
        <v>0</v>
      </c>
    </row>
    <row r="1001" spans="1:3" x14ac:dyDescent="0.2">
      <c r="A1001" s="311" t="s">
        <v>2828</v>
      </c>
      <c r="B1001" t="b">
        <f>IF(ISBLANK(NeoBerLab!$G$29),"",NeoBerLab!$G$29)</f>
        <v>0</v>
      </c>
      <c r="C1001" s="311" t="b">
        <v>0</v>
      </c>
    </row>
    <row r="1002" spans="1:3" x14ac:dyDescent="0.2">
      <c r="A1002" s="311" t="s">
        <v>2829</v>
      </c>
      <c r="B1002" t="b">
        <f>IF(ISBLANK(NeoBerLab!$G$30),"",NeoBerLab!$G$30)</f>
        <v>0</v>
      </c>
      <c r="C1002" s="311" t="b">
        <v>0</v>
      </c>
    </row>
    <row r="1003" spans="1:3" x14ac:dyDescent="0.2">
      <c r="A1003" s="311" t="s">
        <v>2830</v>
      </c>
      <c r="B1003" t="b">
        <f>IF(ISBLANK(NeoBerLab!$G$31),"",NeoBerLab!$G$31)</f>
        <v>0</v>
      </c>
      <c r="C1003" s="311" t="b">
        <v>0</v>
      </c>
    </row>
    <row r="1004" spans="1:3" x14ac:dyDescent="0.2">
      <c r="A1004" s="311" t="s">
        <v>2831</v>
      </c>
      <c r="B1004" t="b">
        <f>IF(ISBLANK(NeoBerLab!$G$32),"",NeoBerLab!$G$32)</f>
        <v>0</v>
      </c>
      <c r="C1004" s="311" t="b">
        <v>0</v>
      </c>
    </row>
    <row r="1005" spans="1:3" x14ac:dyDescent="0.2">
      <c r="A1005" s="311" t="s">
        <v>2832</v>
      </c>
      <c r="B1005" t="b">
        <f>IF(ISBLANK(NeoBerLab!$G$33),"",NeoBerLab!$G$33)</f>
        <v>0</v>
      </c>
      <c r="C1005" s="311" t="b">
        <v>0</v>
      </c>
    </row>
    <row r="1006" spans="1:3" x14ac:dyDescent="0.2">
      <c r="A1006" s="311" t="s">
        <v>2833</v>
      </c>
      <c r="B1006" t="b">
        <f>IF(ISBLANK(NeoBerLab!$G$34),"",NeoBerLab!$G$34)</f>
        <v>0</v>
      </c>
      <c r="C1006" s="311" t="b">
        <v>0</v>
      </c>
    </row>
    <row r="1007" spans="1:3" x14ac:dyDescent="0.2">
      <c r="A1007" s="311" t="s">
        <v>2834</v>
      </c>
      <c r="B1007" t="b">
        <f>IF(ISBLANK(NeoBerLab!$I$4),"",NeoBerLab!$I$4)</f>
        <v>0</v>
      </c>
      <c r="C1007" s="311" t="b">
        <v>0</v>
      </c>
    </row>
    <row r="1008" spans="1:3" x14ac:dyDescent="0.2">
      <c r="A1008" s="311" t="s">
        <v>2835</v>
      </c>
      <c r="B1008" t="b">
        <f>IF(ISBLANK(NeoBerLab!$I$5),"",NeoBerLab!$I$5)</f>
        <v>0</v>
      </c>
      <c r="C1008" s="311" t="b">
        <v>0</v>
      </c>
    </row>
    <row r="1009" spans="1:3" x14ac:dyDescent="0.2">
      <c r="A1009" s="311" t="s">
        <v>2836</v>
      </c>
      <c r="B1009" t="b">
        <f>IF(ISBLANK(NeoBerLab!$I$6),"",NeoBerLab!$I$6)</f>
        <v>0</v>
      </c>
      <c r="C1009" s="311" t="b">
        <v>0</v>
      </c>
    </row>
    <row r="1010" spans="1:3" x14ac:dyDescent="0.2">
      <c r="A1010" s="311" t="s">
        <v>2837</v>
      </c>
      <c r="B1010" t="b">
        <f>IF(ISBLANK(NeoBerLab!$I$7),"",NeoBerLab!$I$7)</f>
        <v>0</v>
      </c>
      <c r="C1010" s="311" t="b">
        <v>0</v>
      </c>
    </row>
    <row r="1011" spans="1:3" x14ac:dyDescent="0.2">
      <c r="A1011" s="311" t="s">
        <v>2838</v>
      </c>
      <c r="B1011" t="b">
        <f>IF(ISBLANK(NeoBerLab!$I$8),"",NeoBerLab!$I$8)</f>
        <v>0</v>
      </c>
      <c r="C1011" s="311" t="b">
        <v>0</v>
      </c>
    </row>
    <row r="1012" spans="1:3" x14ac:dyDescent="0.2">
      <c r="A1012" s="311" t="s">
        <v>2839</v>
      </c>
      <c r="B1012" t="b">
        <f>IF(ISBLANK(NeoBerLab!$I$9),"",NeoBerLab!$I$9)</f>
        <v>0</v>
      </c>
      <c r="C1012" s="311" t="b">
        <v>0</v>
      </c>
    </row>
    <row r="1013" spans="1:3" x14ac:dyDescent="0.2">
      <c r="A1013" s="311" t="s">
        <v>2840</v>
      </c>
      <c r="B1013" t="b">
        <f>IF(ISBLANK(NeoBerLab!$I$10),"",NeoBerLab!$I$10)</f>
        <v>0</v>
      </c>
      <c r="C1013" s="311" t="b">
        <v>0</v>
      </c>
    </row>
    <row r="1014" spans="1:3" x14ac:dyDescent="0.2">
      <c r="A1014" s="311" t="s">
        <v>2841</v>
      </c>
      <c r="B1014" t="b">
        <f>IF(ISBLANK(NeoBerLab!$I$11),"",NeoBerLab!$I$11)</f>
        <v>0</v>
      </c>
      <c r="C1014" s="311" t="b">
        <v>0</v>
      </c>
    </row>
    <row r="1015" spans="1:3" x14ac:dyDescent="0.2">
      <c r="A1015" s="311" t="s">
        <v>2842</v>
      </c>
      <c r="B1015" t="b">
        <f>IF(ISBLANK(NeoBerLab!$I$12),"",NeoBerLab!$I$12)</f>
        <v>0</v>
      </c>
      <c r="C1015" s="311" t="b">
        <v>0</v>
      </c>
    </row>
    <row r="1016" spans="1:3" x14ac:dyDescent="0.2">
      <c r="A1016" s="311" t="s">
        <v>2843</v>
      </c>
      <c r="B1016" t="b">
        <f>IF(ISBLANK(NeoBerLab!$I$13),"",NeoBerLab!$I$13)</f>
        <v>0</v>
      </c>
      <c r="C1016" s="311" t="b">
        <v>0</v>
      </c>
    </row>
    <row r="1017" spans="1:3" x14ac:dyDescent="0.2">
      <c r="A1017" s="311" t="s">
        <v>2844</v>
      </c>
      <c r="B1017" t="b">
        <f>IF(ISBLANK(NeoBerLab!$I$14),"",NeoBerLab!$I$14)</f>
        <v>0</v>
      </c>
      <c r="C1017" s="311" t="b">
        <v>0</v>
      </c>
    </row>
    <row r="1018" spans="1:3" x14ac:dyDescent="0.2">
      <c r="A1018" s="311" t="s">
        <v>2845</v>
      </c>
      <c r="B1018" t="b">
        <f>IF(ISBLANK(NeoBerLab!$I$15),"",NeoBerLab!$I$15)</f>
        <v>0</v>
      </c>
      <c r="C1018" s="311" t="b">
        <v>0</v>
      </c>
    </row>
    <row r="1019" spans="1:3" x14ac:dyDescent="0.2">
      <c r="A1019" s="311" t="s">
        <v>2846</v>
      </c>
      <c r="B1019" t="b">
        <f>IF(ISBLANK(NeoBerLab!$I$16),"",NeoBerLab!$I$16)</f>
        <v>0</v>
      </c>
      <c r="C1019" s="311" t="b">
        <v>0</v>
      </c>
    </row>
    <row r="1020" spans="1:3" x14ac:dyDescent="0.2">
      <c r="A1020" s="311" t="s">
        <v>2847</v>
      </c>
      <c r="B1020" t="b">
        <f>IF(ISBLANK(NeoBerLab!$I$17),"",NeoBerLab!$I$17)</f>
        <v>0</v>
      </c>
      <c r="C1020" s="311" t="b">
        <v>0</v>
      </c>
    </row>
    <row r="1021" spans="1:3" x14ac:dyDescent="0.2">
      <c r="A1021" s="311" t="s">
        <v>2848</v>
      </c>
      <c r="B1021" t="b">
        <f>IF(ISBLANK(NeoBerLab!$I$18),"",NeoBerLab!$I$18)</f>
        <v>0</v>
      </c>
      <c r="C1021" s="311" t="b">
        <v>0</v>
      </c>
    </row>
    <row r="1022" spans="1:3" x14ac:dyDescent="0.2">
      <c r="A1022" s="311" t="s">
        <v>2849</v>
      </c>
      <c r="B1022" t="b">
        <f>IF(ISBLANK(NeoBerLab!$I$19),"",NeoBerLab!$I$19)</f>
        <v>0</v>
      </c>
      <c r="C1022" s="311" t="b">
        <v>0</v>
      </c>
    </row>
    <row r="1023" spans="1:3" x14ac:dyDescent="0.2">
      <c r="A1023" s="311" t="s">
        <v>2850</v>
      </c>
      <c r="B1023" t="b">
        <f>IF(ISBLANK(NeoBerLab!$I$20),"",NeoBerLab!$I$20)</f>
        <v>0</v>
      </c>
      <c r="C1023" s="311" t="b">
        <v>0</v>
      </c>
    </row>
    <row r="1024" spans="1:3" x14ac:dyDescent="0.2">
      <c r="A1024" s="311" t="s">
        <v>2851</v>
      </c>
      <c r="B1024" t="b">
        <f>IF(ISBLANK(NeoBerLab!$I$21),"",NeoBerLab!$I$21)</f>
        <v>0</v>
      </c>
      <c r="C1024" s="311" t="b">
        <v>0</v>
      </c>
    </row>
    <row r="1025" spans="1:3" x14ac:dyDescent="0.2">
      <c r="A1025" s="311" t="s">
        <v>2852</v>
      </c>
      <c r="B1025" t="b">
        <f>IF(ISBLANK(NeoBerLab!$I$22),"",NeoBerLab!$I$22)</f>
        <v>0</v>
      </c>
      <c r="C1025" s="311" t="b">
        <v>0</v>
      </c>
    </row>
    <row r="1026" spans="1:3" x14ac:dyDescent="0.2">
      <c r="A1026" s="311" t="s">
        <v>2853</v>
      </c>
      <c r="B1026" t="b">
        <f>IF(ISBLANK(NeoBerLab!$I$23),"",NeoBerLab!$I$23)</f>
        <v>0</v>
      </c>
      <c r="C1026" s="311" t="b">
        <v>0</v>
      </c>
    </row>
    <row r="1027" spans="1:3" x14ac:dyDescent="0.2">
      <c r="A1027" s="311" t="s">
        <v>2854</v>
      </c>
      <c r="B1027" t="b">
        <f>IF(ISBLANK(NeoBerLab!$I$24),"",NeoBerLab!$I$24)</f>
        <v>0</v>
      </c>
      <c r="C1027" s="311" t="b">
        <v>0</v>
      </c>
    </row>
    <row r="1028" spans="1:3" x14ac:dyDescent="0.2">
      <c r="A1028" s="311" t="s">
        <v>2855</v>
      </c>
      <c r="B1028" t="b">
        <f>IF(ISBLANK(NeoBerLab!$I$25),"",NeoBerLab!$I$25)</f>
        <v>0</v>
      </c>
      <c r="C1028" s="311" t="b">
        <v>0</v>
      </c>
    </row>
    <row r="1029" spans="1:3" x14ac:dyDescent="0.2">
      <c r="A1029" s="311" t="s">
        <v>2856</v>
      </c>
      <c r="B1029" t="b">
        <f>IF(ISBLANK(NeoBerLab!$I$26),"",NeoBerLab!$I$26)</f>
        <v>0</v>
      </c>
      <c r="C1029" s="311" t="b">
        <v>0</v>
      </c>
    </row>
    <row r="1030" spans="1:3" x14ac:dyDescent="0.2">
      <c r="A1030" s="311" t="s">
        <v>2857</v>
      </c>
      <c r="B1030" t="b">
        <f>IF(ISBLANK(NeoBerLab!$I$27),"",NeoBerLab!$I$27)</f>
        <v>0</v>
      </c>
      <c r="C1030" s="311" t="b">
        <v>0</v>
      </c>
    </row>
    <row r="1031" spans="1:3" x14ac:dyDescent="0.2">
      <c r="A1031" s="311" t="s">
        <v>2858</v>
      </c>
      <c r="B1031" t="b">
        <f>IF(ISBLANK(NeoBerLab!$I$28),"",NeoBerLab!$I$28)</f>
        <v>0</v>
      </c>
      <c r="C1031" s="311" t="b">
        <v>0</v>
      </c>
    </row>
    <row r="1032" spans="1:3" x14ac:dyDescent="0.2">
      <c r="A1032" s="311" t="s">
        <v>2859</v>
      </c>
      <c r="B1032" t="b">
        <f>IF(ISBLANK(NeoBerLab!$I$29),"",NeoBerLab!$I$29)</f>
        <v>0</v>
      </c>
      <c r="C1032" s="311" t="b">
        <v>0</v>
      </c>
    </row>
    <row r="1033" spans="1:3" x14ac:dyDescent="0.2">
      <c r="A1033" s="311" t="s">
        <v>2860</v>
      </c>
      <c r="B1033" t="b">
        <f>IF(ISBLANK(NeoBerLab!$I$30),"",NeoBerLab!$I$30)</f>
        <v>0</v>
      </c>
      <c r="C1033" s="311" t="b">
        <v>0</v>
      </c>
    </row>
    <row r="1034" spans="1:3" x14ac:dyDescent="0.2">
      <c r="A1034" s="311" t="s">
        <v>2861</v>
      </c>
      <c r="B1034" t="b">
        <f>IF(ISBLANK(NeoBerLab!$I$31),"",NeoBerLab!$I$31)</f>
        <v>0</v>
      </c>
      <c r="C1034" s="311" t="b">
        <v>0</v>
      </c>
    </row>
    <row r="1035" spans="1:3" x14ac:dyDescent="0.2">
      <c r="A1035" s="311" t="s">
        <v>2862</v>
      </c>
      <c r="B1035" t="b">
        <f>IF(ISBLANK(NeoBerLab!$I$32),"",NeoBerLab!$I$32)</f>
        <v>0</v>
      </c>
      <c r="C1035" s="311" t="b">
        <v>0</v>
      </c>
    </row>
    <row r="1036" spans="1:3" x14ac:dyDescent="0.2">
      <c r="A1036" s="311" t="s">
        <v>2863</v>
      </c>
      <c r="B1036" t="b">
        <f>IF(ISBLANK(NeoBerLab!$I$33),"",NeoBerLab!$I$33)</f>
        <v>0</v>
      </c>
      <c r="C1036" s="311" t="b">
        <v>0</v>
      </c>
    </row>
    <row r="1037" spans="1:3" x14ac:dyDescent="0.2">
      <c r="A1037" s="311" t="s">
        <v>2864</v>
      </c>
      <c r="B1037" t="b">
        <f>IF(ISBLANK(NeoBerLab!$I$34),"",NeoBerLab!$I$34)</f>
        <v>0</v>
      </c>
      <c r="C1037" s="311" t="b">
        <v>0</v>
      </c>
    </row>
    <row r="1038" spans="1:3" x14ac:dyDescent="0.2">
      <c r="A1038" s="311" t="s">
        <v>2865</v>
      </c>
      <c r="B1038" t="b">
        <f>IF(ISBLANK(NeoBerLab!$K$4),"",NeoBerLab!$K$4)</f>
        <v>0</v>
      </c>
      <c r="C1038" s="311" t="b">
        <v>0</v>
      </c>
    </row>
    <row r="1039" spans="1:3" x14ac:dyDescent="0.2">
      <c r="A1039" s="311" t="s">
        <v>2866</v>
      </c>
      <c r="B1039" t="b">
        <f>IF(ISBLANK(NeoBerLab!$K$5),"",NeoBerLab!$K$5)</f>
        <v>0</v>
      </c>
      <c r="C1039" s="311" t="b">
        <v>0</v>
      </c>
    </row>
    <row r="1040" spans="1:3" x14ac:dyDescent="0.2">
      <c r="A1040" s="311" t="s">
        <v>2867</v>
      </c>
      <c r="B1040" t="b">
        <f>IF(ISBLANK(NeoBerLab!$K$6),"",NeoBerLab!$K$6)</f>
        <v>0</v>
      </c>
      <c r="C1040" s="311" t="b">
        <v>0</v>
      </c>
    </row>
    <row r="1041" spans="1:3" x14ac:dyDescent="0.2">
      <c r="A1041" s="311" t="s">
        <v>2868</v>
      </c>
      <c r="B1041" t="b">
        <f>IF(ISBLANK(NeoBerLab!$K$7),"",NeoBerLab!$K$7)</f>
        <v>0</v>
      </c>
      <c r="C1041" s="311" t="b">
        <v>0</v>
      </c>
    </row>
    <row r="1042" spans="1:3" x14ac:dyDescent="0.2">
      <c r="A1042" s="311" t="s">
        <v>2869</v>
      </c>
      <c r="B1042" t="b">
        <f>IF(ISBLANK(NeoBerLab!$K$8),"",NeoBerLab!$K$8)</f>
        <v>0</v>
      </c>
      <c r="C1042" s="311" t="b">
        <v>0</v>
      </c>
    </row>
    <row r="1043" spans="1:3" x14ac:dyDescent="0.2">
      <c r="A1043" s="311" t="s">
        <v>2870</v>
      </c>
      <c r="B1043" t="b">
        <f>IF(ISBLANK(NeoBerLab!$K$9),"",NeoBerLab!$K$9)</f>
        <v>0</v>
      </c>
      <c r="C1043" s="311" t="b">
        <v>0</v>
      </c>
    </row>
    <row r="1044" spans="1:3" x14ac:dyDescent="0.2">
      <c r="A1044" s="311" t="s">
        <v>2871</v>
      </c>
      <c r="B1044" t="b">
        <f>IF(ISBLANK(NeoBerLab!$K$10),"",NeoBerLab!$K$10)</f>
        <v>0</v>
      </c>
      <c r="C1044" s="311" t="b">
        <v>0</v>
      </c>
    </row>
    <row r="1045" spans="1:3" x14ac:dyDescent="0.2">
      <c r="A1045" s="311" t="s">
        <v>2872</v>
      </c>
      <c r="B1045" t="b">
        <f>IF(ISBLANK(NeoBerLab!$K$11),"",NeoBerLab!$K$11)</f>
        <v>0</v>
      </c>
      <c r="C1045" s="311" t="b">
        <v>0</v>
      </c>
    </row>
    <row r="1046" spans="1:3" x14ac:dyDescent="0.2">
      <c r="A1046" s="311" t="s">
        <v>2873</v>
      </c>
      <c r="B1046" t="b">
        <f>IF(ISBLANK(NeoBerLab!$K$12),"",NeoBerLab!$K$12)</f>
        <v>0</v>
      </c>
      <c r="C1046" s="311" t="b">
        <v>0</v>
      </c>
    </row>
    <row r="1047" spans="1:3" x14ac:dyDescent="0.2">
      <c r="A1047" s="311" t="s">
        <v>2874</v>
      </c>
      <c r="B1047" t="b">
        <f>IF(ISBLANK(NeoBerLab!$K$13),"",NeoBerLab!$K$13)</f>
        <v>0</v>
      </c>
      <c r="C1047" s="311" t="b">
        <v>0</v>
      </c>
    </row>
    <row r="1048" spans="1:3" x14ac:dyDescent="0.2">
      <c r="A1048" s="311" t="s">
        <v>2875</v>
      </c>
      <c r="B1048" t="b">
        <f>IF(ISBLANK(NeoBerLab!$K$14),"",NeoBerLab!$K$14)</f>
        <v>0</v>
      </c>
      <c r="C1048" s="311" t="b">
        <v>0</v>
      </c>
    </row>
    <row r="1049" spans="1:3" x14ac:dyDescent="0.2">
      <c r="A1049" s="311" t="s">
        <v>2876</v>
      </c>
      <c r="B1049" t="b">
        <f>IF(ISBLANK(NeoBerLab!$K$15),"",NeoBerLab!$K$15)</f>
        <v>0</v>
      </c>
      <c r="C1049" s="311" t="b">
        <v>0</v>
      </c>
    </row>
    <row r="1050" spans="1:3" x14ac:dyDescent="0.2">
      <c r="A1050" s="311" t="s">
        <v>2877</v>
      </c>
      <c r="B1050" t="b">
        <f>IF(ISBLANK(NeoBerLab!$K$16),"",NeoBerLab!$K$16)</f>
        <v>0</v>
      </c>
      <c r="C1050" s="311" t="b">
        <v>0</v>
      </c>
    </row>
    <row r="1051" spans="1:3" x14ac:dyDescent="0.2">
      <c r="A1051" s="311" t="s">
        <v>2878</v>
      </c>
      <c r="B1051" s="311" t="b">
        <f>IF(ISBLANK(NeoBerLab!$K$17),"",NeoBerLab!$K$17)</f>
        <v>0</v>
      </c>
      <c r="C1051" s="311" t="b">
        <v>0</v>
      </c>
    </row>
    <row r="1052" spans="1:3" x14ac:dyDescent="0.2">
      <c r="A1052" s="311" t="s">
        <v>2879</v>
      </c>
      <c r="B1052" t="b">
        <f>IF(ISBLANK(NeoBerLab!$K$18),"",NeoBerLab!$K$18)</f>
        <v>0</v>
      </c>
      <c r="C1052" s="311" t="b">
        <v>0</v>
      </c>
    </row>
    <row r="1053" spans="1:3" x14ac:dyDescent="0.2">
      <c r="A1053" s="311" t="s">
        <v>2880</v>
      </c>
      <c r="B1053" t="b">
        <f>IF(ISBLANK(NeoBerLab!$K$19),"",NeoBerLab!$K$19)</f>
        <v>0</v>
      </c>
      <c r="C1053" s="311" t="b">
        <v>0</v>
      </c>
    </row>
    <row r="1054" spans="1:3" x14ac:dyDescent="0.2">
      <c r="A1054" s="311" t="s">
        <v>2881</v>
      </c>
      <c r="B1054" t="b">
        <f>IF(ISBLANK(NeoBerLab!$K$20),"",NeoBerLab!$K$20)</f>
        <v>0</v>
      </c>
      <c r="C1054" s="311" t="b">
        <v>0</v>
      </c>
    </row>
    <row r="1055" spans="1:3" x14ac:dyDescent="0.2">
      <c r="A1055" s="311" t="s">
        <v>2882</v>
      </c>
      <c r="B1055" t="b">
        <f>IF(ISBLANK(NeoBerLab!$K$21),"",NeoBerLab!$K$21)</f>
        <v>0</v>
      </c>
      <c r="C1055" s="311" t="b">
        <v>0</v>
      </c>
    </row>
    <row r="1056" spans="1:3" x14ac:dyDescent="0.2">
      <c r="A1056" s="311" t="s">
        <v>2883</v>
      </c>
      <c r="B1056" t="b">
        <f>IF(ISBLANK(NeoBerLab!$K$22),"",NeoBerLab!$K$22)</f>
        <v>0</v>
      </c>
      <c r="C1056" s="311" t="b">
        <v>0</v>
      </c>
    </row>
    <row r="1057" spans="1:3" x14ac:dyDescent="0.2">
      <c r="A1057" s="311" t="s">
        <v>2884</v>
      </c>
      <c r="B1057" t="b">
        <f>IF(ISBLANK(NeoBerLab!$K$23),"",NeoBerLab!$K$23)</f>
        <v>0</v>
      </c>
      <c r="C1057" s="311" t="b">
        <v>0</v>
      </c>
    </row>
    <row r="1058" spans="1:3" x14ac:dyDescent="0.2">
      <c r="A1058" s="311" t="s">
        <v>2885</v>
      </c>
      <c r="B1058" t="b">
        <f>IF(ISBLANK(NeoBerLab!$K$24),"",NeoBerLab!$K$24)</f>
        <v>0</v>
      </c>
      <c r="C1058" s="311" t="b">
        <v>0</v>
      </c>
    </row>
    <row r="1059" spans="1:3" x14ac:dyDescent="0.2">
      <c r="A1059" s="311" t="s">
        <v>2886</v>
      </c>
      <c r="B1059" t="b">
        <f>IF(ISBLANK(NeoBerLab!$K$25),"",NeoBerLab!$K$25)</f>
        <v>0</v>
      </c>
      <c r="C1059" s="311" t="b">
        <v>0</v>
      </c>
    </row>
    <row r="1060" spans="1:3" x14ac:dyDescent="0.2">
      <c r="A1060" s="311" t="s">
        <v>2887</v>
      </c>
      <c r="B1060" t="b">
        <f>IF(ISBLANK(NeoBerLab!$K$26),"",NeoBerLab!$K$26)</f>
        <v>0</v>
      </c>
      <c r="C1060" s="311" t="b">
        <v>0</v>
      </c>
    </row>
    <row r="1061" spans="1:3" x14ac:dyDescent="0.2">
      <c r="A1061" s="311" t="s">
        <v>2888</v>
      </c>
      <c r="B1061" t="b">
        <f>IF(ISBLANK(NeoBerLab!$K$27),"",NeoBerLab!$K$27)</f>
        <v>0</v>
      </c>
      <c r="C1061" s="311" t="b">
        <v>0</v>
      </c>
    </row>
    <row r="1062" spans="1:3" x14ac:dyDescent="0.2">
      <c r="A1062" s="311" t="s">
        <v>2889</v>
      </c>
      <c r="B1062" t="b">
        <f>IF(ISBLANK(NeoBerLab!$K$28),"",NeoBerLab!$K$28)</f>
        <v>0</v>
      </c>
      <c r="C1062" s="311" t="b">
        <v>0</v>
      </c>
    </row>
    <row r="1063" spans="1:3" x14ac:dyDescent="0.2">
      <c r="A1063" s="311" t="s">
        <v>2890</v>
      </c>
      <c r="B1063" s="311" t="b">
        <f>IF(ISBLANK(NeoBerLab!$K$29),"",NeoBerLab!$K$29)</f>
        <v>0</v>
      </c>
      <c r="C1063" s="311" t="b">
        <v>0</v>
      </c>
    </row>
    <row r="1064" spans="1:3" x14ac:dyDescent="0.2">
      <c r="A1064" s="311" t="s">
        <v>2891</v>
      </c>
      <c r="B1064" t="b">
        <f>IF(ISBLANK(NeoBerLab!$K$30),"",NeoBerLab!$K$30)</f>
        <v>0</v>
      </c>
      <c r="C1064" s="311" t="b">
        <v>0</v>
      </c>
    </row>
    <row r="1065" spans="1:3" x14ac:dyDescent="0.2">
      <c r="A1065" s="311" t="s">
        <v>2892</v>
      </c>
      <c r="B1065" t="b">
        <f>IF(ISBLANK(NeoBerLab!$K$31),"",NeoBerLab!$K$31)</f>
        <v>0</v>
      </c>
      <c r="C1065" s="311" t="b">
        <v>0</v>
      </c>
    </row>
    <row r="1066" spans="1:3" x14ac:dyDescent="0.2">
      <c r="A1066" s="311" t="s">
        <v>2893</v>
      </c>
      <c r="B1066" t="b">
        <f>IF(ISBLANK(NeoBerLab!$K$32),"",NeoBerLab!$K$32)</f>
        <v>0</v>
      </c>
      <c r="C1066" s="311" t="b">
        <v>0</v>
      </c>
    </row>
    <row r="1067" spans="1:3" x14ac:dyDescent="0.2">
      <c r="A1067" s="311" t="s">
        <v>2894</v>
      </c>
      <c r="B1067" t="b">
        <f>IF(ISBLANK(NeoBerLab!$K$33),"",NeoBerLab!$K$33)</f>
        <v>0</v>
      </c>
      <c r="C1067" s="311" t="b">
        <v>0</v>
      </c>
    </row>
    <row r="1068" spans="1:3" x14ac:dyDescent="0.2">
      <c r="A1068" s="311" t="s">
        <v>2895</v>
      </c>
      <c r="B1068" t="b">
        <f>IF(ISBLANK(NeoBerLab!$K$34),"",NeoBerLab!$K$34)</f>
        <v>0</v>
      </c>
      <c r="C1068" s="311" t="b">
        <v>0</v>
      </c>
    </row>
    <row r="1069" spans="1:3" x14ac:dyDescent="0.2">
      <c r="A1069" s="311" t="s">
        <v>2896</v>
      </c>
      <c r="B1069" t="b">
        <f>IF(ISBLANK(NeoBerLab!$O$4),"",NeoBerLab!$O$4)</f>
        <v>0</v>
      </c>
      <c r="C1069" s="311" t="b">
        <v>0</v>
      </c>
    </row>
    <row r="1070" spans="1:3" x14ac:dyDescent="0.2">
      <c r="A1070" s="311" t="s">
        <v>2897</v>
      </c>
      <c r="B1070" t="b">
        <f>IF(ISBLANK(NeoBerLab!$O$5),"",NeoBerLab!$O$5)</f>
        <v>0</v>
      </c>
      <c r="C1070" s="311" t="b">
        <v>0</v>
      </c>
    </row>
    <row r="1071" spans="1:3" x14ac:dyDescent="0.2">
      <c r="A1071" s="311" t="s">
        <v>2898</v>
      </c>
      <c r="B1071" t="b">
        <f>IF(ISBLANK(NeoBerLab!$O$6),"",NeoBerLab!$O$6)</f>
        <v>0</v>
      </c>
      <c r="C1071" s="311" t="b">
        <v>0</v>
      </c>
    </row>
    <row r="1072" spans="1:3" x14ac:dyDescent="0.2">
      <c r="A1072" s="311" t="s">
        <v>2899</v>
      </c>
      <c r="B1072" t="b">
        <f>IF(ISBLANK(NeoBerLab!$O$7),"",NeoBerLab!$O$7)</f>
        <v>0</v>
      </c>
      <c r="C1072" s="311" t="b">
        <v>0</v>
      </c>
    </row>
    <row r="1073" spans="1:3" x14ac:dyDescent="0.2">
      <c r="A1073" s="311" t="s">
        <v>2900</v>
      </c>
      <c r="B1073" t="b">
        <f>IF(ISBLANK(NeoBerLab!$O$8),"",NeoBerLab!$O$8)</f>
        <v>0</v>
      </c>
      <c r="C1073" s="311" t="b">
        <v>0</v>
      </c>
    </row>
    <row r="1074" spans="1:3" x14ac:dyDescent="0.2">
      <c r="A1074" s="311" t="s">
        <v>2901</v>
      </c>
      <c r="B1074" t="b">
        <f>IF(ISBLANK(NeoBerLab!$O$9),"",NeoBerLab!$O$9)</f>
        <v>0</v>
      </c>
      <c r="C1074" s="311" t="b">
        <v>0</v>
      </c>
    </row>
    <row r="1075" spans="1:3" x14ac:dyDescent="0.2">
      <c r="A1075" s="311" t="s">
        <v>2902</v>
      </c>
      <c r="B1075" t="b">
        <f>IF(ISBLANK(NeoBerLab!$O$10),"",NeoBerLab!$O$10)</f>
        <v>0</v>
      </c>
      <c r="C1075" s="311" t="b">
        <v>0</v>
      </c>
    </row>
    <row r="1076" spans="1:3" x14ac:dyDescent="0.2">
      <c r="A1076" s="311" t="s">
        <v>2903</v>
      </c>
      <c r="B1076" t="b">
        <f>IF(ISBLANK(NeoBerLab!$O$11),"",NeoBerLab!$O$11)</f>
        <v>0</v>
      </c>
      <c r="C1076" s="311" t="b">
        <v>0</v>
      </c>
    </row>
    <row r="1077" spans="1:3" x14ac:dyDescent="0.2">
      <c r="A1077" s="311" t="s">
        <v>2904</v>
      </c>
      <c r="B1077" t="b">
        <f>IF(ISBLANK(NeoBerLab!$O$12),"",NeoBerLab!$O$12)</f>
        <v>0</v>
      </c>
      <c r="C1077" s="311" t="b">
        <v>0</v>
      </c>
    </row>
    <row r="1078" spans="1:3" x14ac:dyDescent="0.2">
      <c r="A1078" s="311" t="s">
        <v>2905</v>
      </c>
      <c r="B1078" t="b">
        <f>IF(ISBLANK(NeoBerLab!$O$13),"",NeoBerLab!$O$13)</f>
        <v>0</v>
      </c>
      <c r="C1078" s="311" t="b">
        <v>0</v>
      </c>
    </row>
    <row r="1079" spans="1:3" x14ac:dyDescent="0.2">
      <c r="A1079" s="311" t="s">
        <v>2906</v>
      </c>
      <c r="B1079" t="b">
        <f>IF(ISBLANK(NeoBerLab!$O$14),"",NeoBerLab!$O$14)</f>
        <v>0</v>
      </c>
      <c r="C1079" s="311" t="b">
        <v>0</v>
      </c>
    </row>
    <row r="1080" spans="1:3" x14ac:dyDescent="0.2">
      <c r="A1080" s="311" t="s">
        <v>2907</v>
      </c>
      <c r="B1080" t="b">
        <f>IF(ISBLANK(NeoBerLab!$O$15),"",NeoBerLab!$O$15)</f>
        <v>0</v>
      </c>
      <c r="C1080" s="311" t="b">
        <v>0</v>
      </c>
    </row>
    <row r="1081" spans="1:3" x14ac:dyDescent="0.2">
      <c r="A1081" s="311" t="s">
        <v>2908</v>
      </c>
      <c r="B1081" t="b">
        <f>IF(ISBLANK(NeoBerLab!$O$16),"",NeoBerLab!$O$16)</f>
        <v>0</v>
      </c>
      <c r="C1081" s="311" t="b">
        <v>0</v>
      </c>
    </row>
    <row r="1082" spans="1:3" x14ac:dyDescent="0.2">
      <c r="A1082" s="311" t="s">
        <v>2909</v>
      </c>
      <c r="B1082" t="b">
        <f>IF(ISBLANK(NeoBerLab!$O$17),"",NeoBerLab!$O$17)</f>
        <v>0</v>
      </c>
      <c r="C1082" s="311" t="b">
        <v>0</v>
      </c>
    </row>
    <row r="1083" spans="1:3" x14ac:dyDescent="0.2">
      <c r="A1083" s="311" t="s">
        <v>2910</v>
      </c>
      <c r="B1083" t="b">
        <f>IF(ISBLANK(NeoBerLab!$O$18),"",NeoBerLab!$O$18)</f>
        <v>0</v>
      </c>
      <c r="C1083" s="311" t="b">
        <v>0</v>
      </c>
    </row>
    <row r="1084" spans="1:3" x14ac:dyDescent="0.2">
      <c r="A1084" s="311" t="s">
        <v>2911</v>
      </c>
      <c r="B1084" t="b">
        <f>IF(ISBLANK(NeoBerLab!$O$19),"",NeoBerLab!$O$19)</f>
        <v>0</v>
      </c>
      <c r="C1084" s="311" t="b">
        <v>0</v>
      </c>
    </row>
    <row r="1085" spans="1:3" x14ac:dyDescent="0.2">
      <c r="A1085" s="311" t="s">
        <v>2912</v>
      </c>
      <c r="B1085" t="b">
        <f>IF(ISBLANK(NeoBerLab!$O$20),"",NeoBerLab!$O$20)</f>
        <v>0</v>
      </c>
      <c r="C1085" s="311" t="b">
        <v>0</v>
      </c>
    </row>
    <row r="1086" spans="1:3" x14ac:dyDescent="0.2">
      <c r="A1086" s="311" t="s">
        <v>2913</v>
      </c>
      <c r="B1086" t="b">
        <f>IF(ISBLANK(NeoBerLab!$O$21),"",NeoBerLab!$O$21)</f>
        <v>0</v>
      </c>
      <c r="C1086" s="311" t="b">
        <v>0</v>
      </c>
    </row>
    <row r="1087" spans="1:3" x14ac:dyDescent="0.2">
      <c r="A1087" s="311" t="s">
        <v>2914</v>
      </c>
      <c r="B1087" t="b">
        <f>IF(ISBLANK(NeoBerLab!$O$22),"",NeoBerLab!$O$22)</f>
        <v>0</v>
      </c>
      <c r="C1087" s="311" t="b">
        <v>0</v>
      </c>
    </row>
    <row r="1088" spans="1:3" x14ac:dyDescent="0.2">
      <c r="A1088" s="311" t="s">
        <v>2915</v>
      </c>
      <c r="B1088" t="b">
        <f>IF(ISBLANK(NeoBerLab!$O$23),"",NeoBerLab!$O$23)</f>
        <v>0</v>
      </c>
      <c r="C1088" s="311" t="b">
        <v>0</v>
      </c>
    </row>
    <row r="1089" spans="1:3" x14ac:dyDescent="0.2">
      <c r="A1089" s="311" t="s">
        <v>2916</v>
      </c>
      <c r="B1089" t="b">
        <f>IF(ISBLANK(NeoBerLab!$O$24),"",NeoBerLab!$O$24)</f>
        <v>0</v>
      </c>
      <c r="C1089" s="311" t="b">
        <v>0</v>
      </c>
    </row>
    <row r="1090" spans="1:3" x14ac:dyDescent="0.2">
      <c r="A1090" s="311" t="s">
        <v>2917</v>
      </c>
      <c r="B1090" t="b">
        <f>IF(ISBLANK(NeoBerLab!$O$25),"",NeoBerLab!$O$25)</f>
        <v>0</v>
      </c>
      <c r="C1090" s="311" t="b">
        <v>0</v>
      </c>
    </row>
    <row r="1091" spans="1:3" x14ac:dyDescent="0.2">
      <c r="A1091" s="311" t="s">
        <v>2918</v>
      </c>
      <c r="B1091" t="b">
        <f>IF(ISBLANK(NeoBerLab!$O$26),"",NeoBerLab!$O$26)</f>
        <v>0</v>
      </c>
      <c r="C1091" s="311" t="b">
        <v>0</v>
      </c>
    </row>
    <row r="1092" spans="1:3" x14ac:dyDescent="0.2">
      <c r="A1092" s="311" t="s">
        <v>2919</v>
      </c>
      <c r="B1092" t="b">
        <f>IF(ISBLANK(NeoBerLab!$O$27),"",NeoBerLab!$O$27)</f>
        <v>0</v>
      </c>
      <c r="C1092" s="311" t="b">
        <v>0</v>
      </c>
    </row>
    <row r="1093" spans="1:3" x14ac:dyDescent="0.2">
      <c r="A1093" s="311" t="s">
        <v>2920</v>
      </c>
      <c r="B1093" t="b">
        <f>IF(ISBLANK(NeoBerLab!$O$28),"",NeoBerLab!$O$28)</f>
        <v>0</v>
      </c>
      <c r="C1093" s="311" t="b">
        <v>0</v>
      </c>
    </row>
    <row r="1094" spans="1:3" x14ac:dyDescent="0.2">
      <c r="A1094" s="311" t="s">
        <v>2921</v>
      </c>
      <c r="B1094" t="b">
        <f>IF(ISBLANK(NeoBerLab!$O$29),"",NeoBerLab!$O$29)</f>
        <v>0</v>
      </c>
      <c r="C1094" s="311" t="b">
        <v>0</v>
      </c>
    </row>
    <row r="1095" spans="1:3" x14ac:dyDescent="0.2">
      <c r="A1095" s="311" t="s">
        <v>2922</v>
      </c>
      <c r="B1095" t="b">
        <f>IF(ISBLANK(NeoBerLab!$O$30),"",NeoBerLab!$O$30)</f>
        <v>0</v>
      </c>
      <c r="C1095" s="311" t="b">
        <v>0</v>
      </c>
    </row>
    <row r="1096" spans="1:3" x14ac:dyDescent="0.2">
      <c r="A1096" s="311" t="s">
        <v>2923</v>
      </c>
      <c r="B1096" t="b">
        <f>IF(ISBLANK(NeoBerLab!$O$31),"",NeoBerLab!$O$31)</f>
        <v>0</v>
      </c>
      <c r="C1096" s="311" t="b">
        <v>0</v>
      </c>
    </row>
    <row r="1097" spans="1:3" x14ac:dyDescent="0.2">
      <c r="A1097" s="311" t="s">
        <v>2924</v>
      </c>
      <c r="B1097" t="b">
        <f>IF(ISBLANK(NeoBerLab!$O$32),"",NeoBerLab!$O$32)</f>
        <v>0</v>
      </c>
      <c r="C1097" s="311" t="b">
        <v>0</v>
      </c>
    </row>
    <row r="1098" spans="1:3" x14ac:dyDescent="0.2">
      <c r="A1098" s="311" t="s">
        <v>2925</v>
      </c>
      <c r="B1098" t="b">
        <f>IF(ISBLANK(NeoBerLab!$O$33),"",NeoBerLab!$O$33)</f>
        <v>0</v>
      </c>
      <c r="C1098" s="311" t="b">
        <v>0</v>
      </c>
    </row>
    <row r="1099" spans="1:3" x14ac:dyDescent="0.2">
      <c r="A1099" s="311" t="s">
        <v>2926</v>
      </c>
      <c r="B1099" t="b">
        <f>IF(ISBLANK(NeoBerLab!$O$34),"",NeoBerLab!$O$34)</f>
        <v>0</v>
      </c>
      <c r="C1099" s="311" t="b">
        <v>0</v>
      </c>
    </row>
    <row r="1100" spans="1:3" x14ac:dyDescent="0.2">
      <c r="A1100" s="311" t="s">
        <v>2927</v>
      </c>
      <c r="B1100" t="b">
        <f>IF(ISBLANK(NeoBerLab!$Q$4),"",NeoBerLab!$Q$4)</f>
        <v>0</v>
      </c>
      <c r="C1100" s="311" t="b">
        <v>0</v>
      </c>
    </row>
    <row r="1101" spans="1:3" x14ac:dyDescent="0.2">
      <c r="A1101" s="311" t="s">
        <v>2928</v>
      </c>
      <c r="B1101" t="b">
        <f>IF(ISBLANK(NeoBerLab!$Q$5),"",NeoBerLab!$Q$5)</f>
        <v>0</v>
      </c>
      <c r="C1101" s="311" t="b">
        <v>0</v>
      </c>
    </row>
    <row r="1102" spans="1:3" x14ac:dyDescent="0.2">
      <c r="A1102" s="311" t="s">
        <v>2929</v>
      </c>
      <c r="B1102" t="b">
        <f>IF(ISBLANK(NeoBerLab!$Q$6),"",NeoBerLab!$Q$6)</f>
        <v>0</v>
      </c>
      <c r="C1102" s="311" t="b">
        <v>0</v>
      </c>
    </row>
    <row r="1103" spans="1:3" x14ac:dyDescent="0.2">
      <c r="A1103" s="311" t="s">
        <v>2930</v>
      </c>
      <c r="B1103" t="b">
        <f>IF(ISBLANK(NeoBerLab!$Q$7),"",NeoBerLab!$Q$7)</f>
        <v>0</v>
      </c>
      <c r="C1103" s="311" t="b">
        <v>0</v>
      </c>
    </row>
    <row r="1104" spans="1:3" x14ac:dyDescent="0.2">
      <c r="A1104" s="311" t="s">
        <v>2931</v>
      </c>
      <c r="B1104" t="b">
        <f>IF(ISBLANK(NeoBerLab!$Q$8),"",NeoBerLab!$Q$8)</f>
        <v>0</v>
      </c>
      <c r="C1104" s="311" t="b">
        <v>0</v>
      </c>
    </row>
    <row r="1105" spans="1:3" x14ac:dyDescent="0.2">
      <c r="A1105" s="311" t="s">
        <v>2932</v>
      </c>
      <c r="B1105" t="b">
        <f>IF(ISBLANK(NeoBerLab!$Q$9),"",NeoBerLab!$Q$9)</f>
        <v>0</v>
      </c>
      <c r="C1105" s="311" t="b">
        <v>0</v>
      </c>
    </row>
    <row r="1106" spans="1:3" x14ac:dyDescent="0.2">
      <c r="A1106" s="311" t="s">
        <v>2933</v>
      </c>
      <c r="B1106" t="b">
        <f>IF(ISBLANK(NeoBerLab!$Q$10),"",NeoBerLab!$Q$10)</f>
        <v>0</v>
      </c>
      <c r="C1106" s="311" t="b">
        <v>0</v>
      </c>
    </row>
    <row r="1107" spans="1:3" x14ac:dyDescent="0.2">
      <c r="A1107" s="311" t="s">
        <v>2934</v>
      </c>
      <c r="B1107" t="b">
        <f>IF(ISBLANK(NeoBerLab!$Q$11),"",NeoBerLab!$Q$11)</f>
        <v>0</v>
      </c>
      <c r="C1107" s="311" t="b">
        <v>0</v>
      </c>
    </row>
    <row r="1108" spans="1:3" x14ac:dyDescent="0.2">
      <c r="A1108" s="311" t="s">
        <v>2935</v>
      </c>
      <c r="B1108" t="b">
        <f>IF(ISBLANK(NeoBerLab!$Q$12),"",NeoBerLab!$Q$12)</f>
        <v>0</v>
      </c>
      <c r="C1108" s="311" t="b">
        <v>0</v>
      </c>
    </row>
    <row r="1109" spans="1:3" x14ac:dyDescent="0.2">
      <c r="A1109" s="311" t="s">
        <v>2936</v>
      </c>
      <c r="B1109" t="b">
        <f>IF(ISBLANK(NeoBerLab!$Q$13),"",NeoBerLab!$Q$13)</f>
        <v>0</v>
      </c>
      <c r="C1109" s="311" t="b">
        <v>0</v>
      </c>
    </row>
    <row r="1110" spans="1:3" x14ac:dyDescent="0.2">
      <c r="A1110" s="311" t="s">
        <v>2937</v>
      </c>
      <c r="B1110" t="b">
        <f>IF(ISBLANK(NeoBerLab!$Q$14),"",NeoBerLab!$Q$14)</f>
        <v>0</v>
      </c>
      <c r="C1110" s="311" t="b">
        <v>0</v>
      </c>
    </row>
    <row r="1111" spans="1:3" x14ac:dyDescent="0.2">
      <c r="A1111" s="311" t="s">
        <v>2938</v>
      </c>
      <c r="B1111" t="b">
        <f>IF(ISBLANK(NeoBerLab!$Q$15),"",NeoBerLab!$Q$15)</f>
        <v>0</v>
      </c>
      <c r="C1111" s="311" t="b">
        <v>0</v>
      </c>
    </row>
    <row r="1112" spans="1:3" x14ac:dyDescent="0.2">
      <c r="A1112" s="311" t="s">
        <v>2939</v>
      </c>
      <c r="B1112" s="311" t="b">
        <f>IF(ISBLANK(NeoBerLab!$Q$16),"",NeoBerLab!$Q$16)</f>
        <v>0</v>
      </c>
      <c r="C1112" s="311" t="b">
        <v>0</v>
      </c>
    </row>
    <row r="1113" spans="1:3" x14ac:dyDescent="0.2">
      <c r="A1113" s="311" t="s">
        <v>2940</v>
      </c>
      <c r="B1113" t="b">
        <f>IF(ISBLANK(NeoBerLab!$Q$17),"",NeoBerLab!$Q$17)</f>
        <v>0</v>
      </c>
      <c r="C1113" s="311" t="b">
        <v>0</v>
      </c>
    </row>
    <row r="1114" spans="1:3" x14ac:dyDescent="0.2">
      <c r="A1114" s="311" t="s">
        <v>2941</v>
      </c>
      <c r="B1114" t="b">
        <f>IF(ISBLANK(NeoBerLab!$Q$18),"",NeoBerLab!$Q$18)</f>
        <v>0</v>
      </c>
      <c r="C1114" s="311" t="b">
        <v>0</v>
      </c>
    </row>
    <row r="1115" spans="1:3" x14ac:dyDescent="0.2">
      <c r="A1115" s="311" t="s">
        <v>2942</v>
      </c>
      <c r="B1115" t="b">
        <f>IF(ISBLANK(NeoBerLab!$Q$19),"",NeoBerLab!$Q$19)</f>
        <v>0</v>
      </c>
      <c r="C1115" s="311" t="b">
        <v>0</v>
      </c>
    </row>
    <row r="1116" spans="1:3" x14ac:dyDescent="0.2">
      <c r="A1116" s="311" t="s">
        <v>2943</v>
      </c>
      <c r="B1116" t="b">
        <f>IF(ISBLANK(NeoBerLab!$Q$20),"",NeoBerLab!$Q$20)</f>
        <v>0</v>
      </c>
      <c r="C1116" s="311" t="b">
        <v>0</v>
      </c>
    </row>
    <row r="1117" spans="1:3" x14ac:dyDescent="0.2">
      <c r="A1117" s="311" t="s">
        <v>2944</v>
      </c>
      <c r="B1117" t="b">
        <f>IF(ISBLANK(NeoBerLab!$Q$21),"",NeoBerLab!$Q$21)</f>
        <v>0</v>
      </c>
      <c r="C1117" s="311" t="b">
        <v>0</v>
      </c>
    </row>
    <row r="1118" spans="1:3" x14ac:dyDescent="0.2">
      <c r="A1118" s="311" t="s">
        <v>2945</v>
      </c>
      <c r="B1118" t="b">
        <f>IF(ISBLANK(NeoBerLab!$Q$22),"",NeoBerLab!$Q$22)</f>
        <v>0</v>
      </c>
      <c r="C1118" s="311" t="b">
        <v>0</v>
      </c>
    </row>
    <row r="1119" spans="1:3" x14ac:dyDescent="0.2">
      <c r="A1119" s="311" t="s">
        <v>2946</v>
      </c>
      <c r="B1119" t="b">
        <f>IF(ISBLANK(NeoBerLab!$Q$23),"",NeoBerLab!$Q$23)</f>
        <v>0</v>
      </c>
      <c r="C1119" s="311" t="b">
        <v>0</v>
      </c>
    </row>
    <row r="1120" spans="1:3" x14ac:dyDescent="0.2">
      <c r="A1120" s="311" t="s">
        <v>2947</v>
      </c>
      <c r="B1120" t="b">
        <f>IF(ISBLANK(NeoBerLab!$Q$24),"",NeoBerLab!$Q$24)</f>
        <v>0</v>
      </c>
      <c r="C1120" s="311" t="b">
        <v>0</v>
      </c>
    </row>
    <row r="1121" spans="1:3" x14ac:dyDescent="0.2">
      <c r="A1121" s="311" t="s">
        <v>2948</v>
      </c>
      <c r="B1121" t="b">
        <f>IF(ISBLANK(NeoBerLab!$Q$25),"",NeoBerLab!$Q$25)</f>
        <v>0</v>
      </c>
      <c r="C1121" s="311" t="b">
        <v>0</v>
      </c>
    </row>
    <row r="1122" spans="1:3" x14ac:dyDescent="0.2">
      <c r="A1122" s="311" t="s">
        <v>2949</v>
      </c>
      <c r="B1122" t="b">
        <f>IF(ISBLANK(NeoBerLab!$Q$26),"",NeoBerLab!$Q$26)</f>
        <v>0</v>
      </c>
      <c r="C1122" s="311" t="b">
        <v>0</v>
      </c>
    </row>
    <row r="1123" spans="1:3" x14ac:dyDescent="0.2">
      <c r="A1123" s="311" t="s">
        <v>2950</v>
      </c>
      <c r="B1123" t="b">
        <f>IF(ISBLANK(NeoBerLab!$Q$27),"",NeoBerLab!$Q$27)</f>
        <v>0</v>
      </c>
      <c r="C1123" s="311" t="b">
        <v>0</v>
      </c>
    </row>
    <row r="1124" spans="1:3" x14ac:dyDescent="0.2">
      <c r="A1124" s="311" t="s">
        <v>2951</v>
      </c>
      <c r="B1124" t="b">
        <f>IF(ISBLANK(NeoBerLab!$Q$28),"",NeoBerLab!$Q$28)</f>
        <v>0</v>
      </c>
      <c r="C1124" s="311" t="b">
        <v>0</v>
      </c>
    </row>
    <row r="1125" spans="1:3" x14ac:dyDescent="0.2">
      <c r="A1125" s="311" t="s">
        <v>2952</v>
      </c>
      <c r="B1125" t="b">
        <f>IF(ISBLANK(NeoBerLab!$Q$29),"",NeoBerLab!$Q$29)</f>
        <v>0</v>
      </c>
      <c r="C1125" s="311" t="b">
        <v>0</v>
      </c>
    </row>
    <row r="1126" spans="1:3" x14ac:dyDescent="0.2">
      <c r="A1126" s="311" t="s">
        <v>2953</v>
      </c>
      <c r="B1126" t="b">
        <f>IF(ISBLANK(NeoBerLab!$Q$30),"",NeoBerLab!$Q$30)</f>
        <v>0</v>
      </c>
      <c r="C1126" s="311" t="b">
        <v>0</v>
      </c>
    </row>
    <row r="1127" spans="1:3" x14ac:dyDescent="0.2">
      <c r="A1127" s="311" t="s">
        <v>2954</v>
      </c>
      <c r="B1127" t="b">
        <f>IF(ISBLANK(NeoBerLab!$Q$31),"",NeoBerLab!$Q$31)</f>
        <v>0</v>
      </c>
      <c r="C1127" s="311" t="b">
        <v>0</v>
      </c>
    </row>
    <row r="1128" spans="1:3" x14ac:dyDescent="0.2">
      <c r="A1128" s="311" t="s">
        <v>2955</v>
      </c>
      <c r="B1128" t="b">
        <f>IF(ISBLANK(NeoBerLab!$Q$32),"",NeoBerLab!$Q$32)</f>
        <v>0</v>
      </c>
      <c r="C1128" s="311" t="b">
        <v>0</v>
      </c>
    </row>
    <row r="1129" spans="1:3" x14ac:dyDescent="0.2">
      <c r="A1129" s="311" t="s">
        <v>2956</v>
      </c>
      <c r="B1129" t="b">
        <f>IF(ISBLANK(NeoBerLab!$Q$33),"",NeoBerLab!$Q$33)</f>
        <v>0</v>
      </c>
      <c r="C1129" s="311" t="b">
        <v>0</v>
      </c>
    </row>
    <row r="1130" spans="1:3" x14ac:dyDescent="0.2">
      <c r="A1130" s="311" t="s">
        <v>2957</v>
      </c>
      <c r="B1130" t="b">
        <f>IF(ISBLANK(NeoBerLab!$Q$34),"",NeoBerLab!$Q$34)</f>
        <v>0</v>
      </c>
      <c r="C1130" s="311" t="b">
        <v>0</v>
      </c>
    </row>
    <row r="1131" spans="1:3" x14ac:dyDescent="0.2">
      <c r="A1131" s="311" t="s">
        <v>2958</v>
      </c>
      <c r="B1131" t="b">
        <f>IF(ISBLANK(NeoBerLab!$S$4),"",NeoBerLab!$S$4)</f>
        <v>0</v>
      </c>
      <c r="C1131" s="311" t="b">
        <v>0</v>
      </c>
    </row>
    <row r="1132" spans="1:3" x14ac:dyDescent="0.2">
      <c r="A1132" s="311" t="s">
        <v>2959</v>
      </c>
      <c r="B1132" t="b">
        <f>IF(ISBLANK(NeoBerLab!$S$5),"",NeoBerLab!$S$5)</f>
        <v>0</v>
      </c>
      <c r="C1132" s="311" t="b">
        <v>0</v>
      </c>
    </row>
    <row r="1133" spans="1:3" x14ac:dyDescent="0.2">
      <c r="A1133" s="311" t="s">
        <v>2960</v>
      </c>
      <c r="B1133" t="b">
        <f>IF(ISBLANK(NeoBerLab!$S$6),"",NeoBerLab!$S$6)</f>
        <v>0</v>
      </c>
      <c r="C1133" s="311" t="b">
        <v>0</v>
      </c>
    </row>
    <row r="1134" spans="1:3" x14ac:dyDescent="0.2">
      <c r="A1134" s="311" t="s">
        <v>2961</v>
      </c>
      <c r="B1134" t="b">
        <f>IF(ISBLANK(NeoBerLab!$S$7),"",NeoBerLab!$S$7)</f>
        <v>0</v>
      </c>
      <c r="C1134" s="311" t="b">
        <v>0</v>
      </c>
    </row>
    <row r="1135" spans="1:3" x14ac:dyDescent="0.2">
      <c r="A1135" s="311" t="s">
        <v>2962</v>
      </c>
      <c r="B1135" t="b">
        <f>IF(ISBLANK(NeoBerLab!$S$8),"",NeoBerLab!$S$8)</f>
        <v>0</v>
      </c>
      <c r="C1135" s="311" t="b">
        <v>0</v>
      </c>
    </row>
    <row r="1136" spans="1:3" x14ac:dyDescent="0.2">
      <c r="A1136" s="311" t="s">
        <v>2963</v>
      </c>
      <c r="B1136" t="b">
        <f>IF(ISBLANK(NeoBerLab!$S$9),"",NeoBerLab!$S$9)</f>
        <v>0</v>
      </c>
      <c r="C1136" s="311" t="b">
        <v>0</v>
      </c>
    </row>
    <row r="1137" spans="1:3" x14ac:dyDescent="0.2">
      <c r="A1137" s="311" t="s">
        <v>2964</v>
      </c>
      <c r="B1137" t="b">
        <f>IF(ISBLANK(NeoBerLab!$S$10),"",NeoBerLab!$S$10)</f>
        <v>0</v>
      </c>
      <c r="C1137" s="311" t="b">
        <v>0</v>
      </c>
    </row>
    <row r="1138" spans="1:3" x14ac:dyDescent="0.2">
      <c r="A1138" s="311" t="s">
        <v>2965</v>
      </c>
      <c r="B1138" t="b">
        <f>IF(ISBLANK(NeoBerLab!$S$11),"",NeoBerLab!$S$11)</f>
        <v>0</v>
      </c>
      <c r="C1138" s="311" t="b">
        <v>0</v>
      </c>
    </row>
    <row r="1139" spans="1:3" x14ac:dyDescent="0.2">
      <c r="A1139" s="311" t="s">
        <v>2966</v>
      </c>
      <c r="B1139" t="b">
        <f>IF(ISBLANK(NeoBerLab!$S$12),"",NeoBerLab!$S$12)</f>
        <v>0</v>
      </c>
      <c r="C1139" s="311" t="b">
        <v>0</v>
      </c>
    </row>
    <row r="1140" spans="1:3" x14ac:dyDescent="0.2">
      <c r="A1140" s="311" t="s">
        <v>2967</v>
      </c>
      <c r="B1140" t="b">
        <f>IF(ISBLANK(NeoBerLab!$S$13),"",NeoBerLab!$S$13)</f>
        <v>0</v>
      </c>
      <c r="C1140" s="311" t="b">
        <v>0</v>
      </c>
    </row>
    <row r="1141" spans="1:3" x14ac:dyDescent="0.2">
      <c r="A1141" s="311" t="s">
        <v>2968</v>
      </c>
      <c r="B1141" t="b">
        <f>IF(ISBLANK(NeoBerLab!$S$14),"",NeoBerLab!$S$14)</f>
        <v>0</v>
      </c>
      <c r="C1141" s="311" t="b">
        <v>0</v>
      </c>
    </row>
    <row r="1142" spans="1:3" x14ac:dyDescent="0.2">
      <c r="A1142" s="311" t="s">
        <v>2969</v>
      </c>
      <c r="B1142" t="b">
        <f>IF(ISBLANK(NeoBerLab!$S$15),"",NeoBerLab!$S$15)</f>
        <v>0</v>
      </c>
      <c r="C1142" s="311" t="b">
        <v>0</v>
      </c>
    </row>
    <row r="1143" spans="1:3" x14ac:dyDescent="0.2">
      <c r="A1143" s="311" t="s">
        <v>2970</v>
      </c>
      <c r="B1143" t="b">
        <f>IF(ISBLANK(NeoBerLab!$S$16),"",NeoBerLab!$S$16)</f>
        <v>0</v>
      </c>
      <c r="C1143" s="311" t="b">
        <v>0</v>
      </c>
    </row>
    <row r="1144" spans="1:3" x14ac:dyDescent="0.2">
      <c r="A1144" s="311" t="s">
        <v>2971</v>
      </c>
      <c r="B1144" t="b">
        <f>IF(ISBLANK(NeoBerLab!$S$17),"",NeoBerLab!$S$17)</f>
        <v>0</v>
      </c>
      <c r="C1144" s="311" t="b">
        <v>0</v>
      </c>
    </row>
    <row r="1145" spans="1:3" x14ac:dyDescent="0.2">
      <c r="A1145" s="311" t="s">
        <v>2972</v>
      </c>
      <c r="B1145" t="b">
        <f>IF(ISBLANK(NeoBerLab!$S$18),"",NeoBerLab!$S$18)</f>
        <v>0</v>
      </c>
      <c r="C1145" s="311" t="b">
        <v>0</v>
      </c>
    </row>
    <row r="1146" spans="1:3" x14ac:dyDescent="0.2">
      <c r="A1146" s="311" t="s">
        <v>2973</v>
      </c>
      <c r="B1146" t="b">
        <f>IF(ISBLANK(NeoBerLab!$S$19),"",NeoBerLab!$S$19)</f>
        <v>0</v>
      </c>
      <c r="C1146" s="311" t="b">
        <v>0</v>
      </c>
    </row>
    <row r="1147" spans="1:3" x14ac:dyDescent="0.2">
      <c r="A1147" s="311" t="s">
        <v>2974</v>
      </c>
      <c r="B1147" t="b">
        <f>IF(ISBLANK(NeoBerLab!$S$20),"",NeoBerLab!$S$20)</f>
        <v>0</v>
      </c>
      <c r="C1147" s="311" t="b">
        <v>0</v>
      </c>
    </row>
    <row r="1148" spans="1:3" x14ac:dyDescent="0.2">
      <c r="A1148" s="311" t="s">
        <v>2975</v>
      </c>
      <c r="B1148" t="b">
        <f>IF(ISBLANK(NeoBerLab!$S$21),"",NeoBerLab!$S$21)</f>
        <v>0</v>
      </c>
      <c r="C1148" s="311" t="b">
        <v>0</v>
      </c>
    </row>
    <row r="1149" spans="1:3" x14ac:dyDescent="0.2">
      <c r="A1149" s="311" t="s">
        <v>2976</v>
      </c>
      <c r="B1149" t="b">
        <f>IF(ISBLANK(NeoBerLab!$S$22),"",NeoBerLab!$S$22)</f>
        <v>0</v>
      </c>
      <c r="C1149" s="311" t="b">
        <v>0</v>
      </c>
    </row>
    <row r="1150" spans="1:3" x14ac:dyDescent="0.2">
      <c r="A1150" s="311" t="s">
        <v>2977</v>
      </c>
      <c r="B1150" t="b">
        <f>IF(ISBLANK(NeoBerLab!$S$23),"",NeoBerLab!$S$23)</f>
        <v>0</v>
      </c>
      <c r="C1150" s="311" t="b">
        <v>0</v>
      </c>
    </row>
    <row r="1151" spans="1:3" x14ac:dyDescent="0.2">
      <c r="A1151" s="311" t="s">
        <v>2978</v>
      </c>
      <c r="B1151" t="b">
        <f>IF(ISBLANK(NeoBerLab!$S$24),"",NeoBerLab!$S$24)</f>
        <v>0</v>
      </c>
      <c r="C1151" s="311" t="b">
        <v>0</v>
      </c>
    </row>
    <row r="1152" spans="1:3" x14ac:dyDescent="0.2">
      <c r="A1152" s="311" t="s">
        <v>2979</v>
      </c>
      <c r="B1152" t="b">
        <f>IF(ISBLANK(NeoBerLab!$S$25),"",NeoBerLab!$S$25)</f>
        <v>0</v>
      </c>
      <c r="C1152" s="311" t="b">
        <v>0</v>
      </c>
    </row>
    <row r="1153" spans="1:3" x14ac:dyDescent="0.2">
      <c r="A1153" s="311" t="s">
        <v>2980</v>
      </c>
      <c r="B1153" t="b">
        <f>IF(ISBLANK(NeoBerLab!$S$26),"",NeoBerLab!$S$26)</f>
        <v>0</v>
      </c>
      <c r="C1153" s="311" t="b">
        <v>0</v>
      </c>
    </row>
    <row r="1154" spans="1:3" x14ac:dyDescent="0.2">
      <c r="A1154" s="311" t="s">
        <v>2981</v>
      </c>
      <c r="B1154" t="b">
        <f>IF(ISBLANK(NeoBerLab!$S$27),"",NeoBerLab!$S$27)</f>
        <v>0</v>
      </c>
      <c r="C1154" s="311" t="b">
        <v>0</v>
      </c>
    </row>
    <row r="1155" spans="1:3" x14ac:dyDescent="0.2">
      <c r="A1155" s="311" t="s">
        <v>2982</v>
      </c>
      <c r="B1155" t="b">
        <f>IF(ISBLANK(NeoBerLab!$S$28),"",NeoBerLab!$S$28)</f>
        <v>0</v>
      </c>
      <c r="C1155" s="311" t="b">
        <v>0</v>
      </c>
    </row>
    <row r="1156" spans="1:3" x14ac:dyDescent="0.2">
      <c r="A1156" s="311" t="s">
        <v>2983</v>
      </c>
      <c r="B1156" t="b">
        <f>IF(ISBLANK(NeoBerLab!$S$29),"",NeoBerLab!$S$29)</f>
        <v>0</v>
      </c>
      <c r="C1156" s="311" t="b">
        <v>0</v>
      </c>
    </row>
    <row r="1157" spans="1:3" x14ac:dyDescent="0.2">
      <c r="A1157" s="311" t="s">
        <v>2984</v>
      </c>
      <c r="B1157" t="b">
        <f>IF(ISBLANK(NeoBerLab!$S$30),"",NeoBerLab!$S$30)</f>
        <v>0</v>
      </c>
      <c r="C1157" s="311" t="b">
        <v>0</v>
      </c>
    </row>
    <row r="1158" spans="1:3" x14ac:dyDescent="0.2">
      <c r="A1158" s="311" t="s">
        <v>2985</v>
      </c>
      <c r="B1158" t="b">
        <f>IF(ISBLANK(NeoBerLab!$S$31),"",NeoBerLab!$S$31)</f>
        <v>0</v>
      </c>
      <c r="C1158" s="311" t="b">
        <v>0</v>
      </c>
    </row>
    <row r="1159" spans="1:3" x14ac:dyDescent="0.2">
      <c r="A1159" s="311" t="s">
        <v>2986</v>
      </c>
      <c r="B1159" t="b">
        <f>IF(ISBLANK(NeoBerLab!$S$32),"",NeoBerLab!$S$32)</f>
        <v>0</v>
      </c>
      <c r="C1159" s="311" t="b">
        <v>0</v>
      </c>
    </row>
    <row r="1160" spans="1:3" x14ac:dyDescent="0.2">
      <c r="A1160" s="311" t="s">
        <v>2987</v>
      </c>
      <c r="B1160" t="b">
        <f>IF(ISBLANK(NeoBerLab!$S$33),"",NeoBerLab!$S$33)</f>
        <v>0</v>
      </c>
      <c r="C1160" s="311" t="b">
        <v>0</v>
      </c>
    </row>
    <row r="1161" spans="1:3" x14ac:dyDescent="0.2">
      <c r="A1161" s="311" t="s">
        <v>2988</v>
      </c>
      <c r="B1161" t="b">
        <f>IF(ISBLANK(NeoBerLab!$S$34),"",NeoBerLab!$S$34)</f>
        <v>0</v>
      </c>
      <c r="C1161" s="311" t="b">
        <v>0</v>
      </c>
    </row>
    <row r="1162" spans="1:3" x14ac:dyDescent="0.2">
      <c r="A1162" s="311" t="s">
        <v>2989</v>
      </c>
      <c r="B1162" t="str">
        <f>IF(ISBLANK(NeoBerLab!$D$38),"",NeoBerLab!$D$38)</f>
        <v/>
      </c>
      <c r="C1162" s="130"/>
    </row>
    <row r="1163" spans="1:3" x14ac:dyDescent="0.2">
      <c r="A1163" s="311" t="s">
        <v>2990</v>
      </c>
      <c r="B1163" t="b">
        <f>IF(ISBLANK(NeoBerLab!$C$4),"",NeoBerLab!$C$4)</f>
        <v>0</v>
      </c>
      <c r="C1163" s="311" t="b">
        <v>0</v>
      </c>
    </row>
    <row r="1164" spans="1:3" x14ac:dyDescent="0.2">
      <c r="A1164" s="311" t="s">
        <v>2991</v>
      </c>
      <c r="B1164" t="b">
        <f>IF(ISBLANK(NeoBerLab!$C$5),"",NeoBerLab!$C$5)</f>
        <v>0</v>
      </c>
      <c r="C1164" s="311" t="b">
        <v>0</v>
      </c>
    </row>
    <row r="1165" spans="1:3" x14ac:dyDescent="0.2">
      <c r="A1165" s="311" t="s">
        <v>2992</v>
      </c>
      <c r="B1165" t="b">
        <f>IF(ISBLANK(NeoBerLab!$C$6),"",NeoBerLab!$C$6)</f>
        <v>0</v>
      </c>
      <c r="C1165" s="311" t="b">
        <v>0</v>
      </c>
    </row>
    <row r="1166" spans="1:3" x14ac:dyDescent="0.2">
      <c r="A1166" s="311" t="s">
        <v>2993</v>
      </c>
      <c r="B1166" t="b">
        <f>IF(ISBLANK(NeoBerLab!$C$7),"",NeoBerLab!$C$7)</f>
        <v>0</v>
      </c>
      <c r="C1166" s="311" t="b">
        <v>0</v>
      </c>
    </row>
    <row r="1167" spans="1:3" x14ac:dyDescent="0.2">
      <c r="A1167" s="311" t="s">
        <v>2994</v>
      </c>
      <c r="B1167" t="b">
        <f>IF(ISBLANK(NeoBerLab!$C$8),"",NeoBerLab!$C$8)</f>
        <v>0</v>
      </c>
      <c r="C1167" s="311" t="b">
        <v>0</v>
      </c>
    </row>
    <row r="1168" spans="1:3" x14ac:dyDescent="0.2">
      <c r="A1168" s="311" t="s">
        <v>2995</v>
      </c>
      <c r="B1168" t="b">
        <f>IF(ISBLANK(NeoBerLab!$C$9),"",NeoBerLab!$C$9)</f>
        <v>0</v>
      </c>
      <c r="C1168" s="311" t="b">
        <v>0</v>
      </c>
    </row>
    <row r="1169" spans="1:3" x14ac:dyDescent="0.2">
      <c r="A1169" s="311" t="s">
        <v>2996</v>
      </c>
      <c r="B1169" t="b">
        <f>IF(ISBLANK(NeoBerLab!$C$10),"",NeoBerLab!$C$10)</f>
        <v>0</v>
      </c>
      <c r="C1169" s="311" t="b">
        <v>0</v>
      </c>
    </row>
    <row r="1170" spans="1:3" x14ac:dyDescent="0.2">
      <c r="A1170" s="311" t="s">
        <v>2997</v>
      </c>
      <c r="B1170" t="b">
        <f>IF(ISBLANK(NeoBerLab!$C$11),"",NeoBerLab!$C$11)</f>
        <v>0</v>
      </c>
      <c r="C1170" s="311" t="b">
        <v>0</v>
      </c>
    </row>
    <row r="1171" spans="1:3" x14ac:dyDescent="0.2">
      <c r="A1171" s="311" t="s">
        <v>2998</v>
      </c>
      <c r="B1171" t="b">
        <f>IF(ISBLANK(NeoBerLab!$C$12),"",NeoBerLab!$C$12)</f>
        <v>0</v>
      </c>
      <c r="C1171" s="311" t="b">
        <v>0</v>
      </c>
    </row>
    <row r="1172" spans="1:3" x14ac:dyDescent="0.2">
      <c r="A1172" s="311" t="s">
        <v>2999</v>
      </c>
      <c r="B1172" t="b">
        <f>IF(ISBLANK(NeoBerLab!$C$13),"",NeoBerLab!$C$13)</f>
        <v>0</v>
      </c>
      <c r="C1172" s="311" t="b">
        <v>0</v>
      </c>
    </row>
    <row r="1173" spans="1:3" x14ac:dyDescent="0.2">
      <c r="A1173" s="311" t="s">
        <v>3000</v>
      </c>
      <c r="B1173" t="b">
        <f>IF(ISBLANK(NeoBerLab!$C$14),"",NeoBerLab!$C$14)</f>
        <v>0</v>
      </c>
      <c r="C1173" s="311" t="b">
        <v>0</v>
      </c>
    </row>
    <row r="1174" spans="1:3" x14ac:dyDescent="0.2">
      <c r="A1174" s="311" t="s">
        <v>3001</v>
      </c>
      <c r="B1174" t="b">
        <f>IF(ISBLANK(NeoBerLab!$C$15),"",NeoBerLab!$C$15)</f>
        <v>0</v>
      </c>
      <c r="C1174" s="311" t="b">
        <v>0</v>
      </c>
    </row>
    <row r="1175" spans="1:3" x14ac:dyDescent="0.2">
      <c r="A1175" s="311" t="s">
        <v>3002</v>
      </c>
      <c r="B1175" t="b">
        <f>IF(ISBLANK(NeoBerLab!$C$16),"",NeoBerLab!$C$16)</f>
        <v>0</v>
      </c>
      <c r="C1175" s="311" t="b">
        <v>0</v>
      </c>
    </row>
    <row r="1176" spans="1:3" x14ac:dyDescent="0.2">
      <c r="A1176" s="311" t="s">
        <v>3003</v>
      </c>
      <c r="B1176" t="b">
        <f>IF(ISBLANK(NeoBerLab!$C$17),"",NeoBerLab!$C$17)</f>
        <v>0</v>
      </c>
      <c r="C1176" s="311" t="b">
        <v>0</v>
      </c>
    </row>
    <row r="1177" spans="1:3" x14ac:dyDescent="0.2">
      <c r="A1177" s="311" t="s">
        <v>3004</v>
      </c>
      <c r="B1177" t="b">
        <f>IF(ISBLANK(NeoBerLab!$C$18),"",NeoBerLab!$C$18)</f>
        <v>0</v>
      </c>
      <c r="C1177" s="311" t="b">
        <v>0</v>
      </c>
    </row>
    <row r="1178" spans="1:3" x14ac:dyDescent="0.2">
      <c r="A1178" s="311" t="s">
        <v>3005</v>
      </c>
      <c r="B1178" t="b">
        <f>IF(ISBLANK(NeoBerLab!$C$19),"",NeoBerLab!$C$19)</f>
        <v>0</v>
      </c>
      <c r="C1178" s="311" t="b">
        <v>0</v>
      </c>
    </row>
    <row r="1179" spans="1:3" x14ac:dyDescent="0.2">
      <c r="A1179" s="311" t="s">
        <v>3006</v>
      </c>
      <c r="B1179" t="b">
        <f>IF(ISBLANK(NeoBerLab!$C$20),"",NeoBerLab!$C$20)</f>
        <v>0</v>
      </c>
      <c r="C1179" s="311" t="b">
        <v>0</v>
      </c>
    </row>
    <row r="1180" spans="1:3" x14ac:dyDescent="0.2">
      <c r="A1180" s="311" t="s">
        <v>3007</v>
      </c>
      <c r="B1180" t="b">
        <f>IF(ISBLANK(NeoBerLab!$C$21),"",NeoBerLab!$C$21)</f>
        <v>0</v>
      </c>
      <c r="C1180" s="311" t="b">
        <v>0</v>
      </c>
    </row>
    <row r="1181" spans="1:3" x14ac:dyDescent="0.2">
      <c r="A1181" s="311" t="s">
        <v>3008</v>
      </c>
      <c r="B1181" t="b">
        <f>IF(ISBLANK(NeoBerLab!$C$22),"",NeoBerLab!$C$22)</f>
        <v>0</v>
      </c>
      <c r="C1181" s="311" t="b">
        <v>0</v>
      </c>
    </row>
    <row r="1182" spans="1:3" x14ac:dyDescent="0.2">
      <c r="A1182" s="311" t="s">
        <v>3009</v>
      </c>
      <c r="B1182" t="b">
        <f>IF(ISBLANK(NeoBerLab!$C$23),"",NeoBerLab!$C$23)</f>
        <v>0</v>
      </c>
      <c r="C1182" s="311" t="b">
        <v>0</v>
      </c>
    </row>
    <row r="1183" spans="1:3" x14ac:dyDescent="0.2">
      <c r="A1183" s="311" t="s">
        <v>3010</v>
      </c>
      <c r="B1183" t="b">
        <f>IF(ISBLANK(NeoBerLab!$C$24),"",NeoBerLab!$C$24)</f>
        <v>0</v>
      </c>
      <c r="C1183" s="311" t="b">
        <v>0</v>
      </c>
    </row>
    <row r="1184" spans="1:3" x14ac:dyDescent="0.2">
      <c r="A1184" s="311" t="s">
        <v>3011</v>
      </c>
      <c r="B1184" t="b">
        <f>IF(ISBLANK(NeoBerLab!$C$25),"",NeoBerLab!$C$25)</f>
        <v>0</v>
      </c>
      <c r="C1184" s="311" t="b">
        <v>0</v>
      </c>
    </row>
    <row r="1185" spans="1:4" x14ac:dyDescent="0.2">
      <c r="A1185" s="311" t="s">
        <v>3012</v>
      </c>
      <c r="B1185" t="b">
        <f>IF(ISBLANK(NeoBerLab!$C$26),"",NeoBerLab!$C$26)</f>
        <v>0</v>
      </c>
      <c r="C1185" s="311" t="b">
        <v>0</v>
      </c>
    </row>
    <row r="1186" spans="1:4" x14ac:dyDescent="0.2">
      <c r="A1186" s="311" t="s">
        <v>3013</v>
      </c>
      <c r="B1186" t="b">
        <f>IF(ISBLANK(NeoBerLab!$C$27),"",NeoBerLab!$C$27)</f>
        <v>0</v>
      </c>
      <c r="C1186" s="311" t="b">
        <v>0</v>
      </c>
    </row>
    <row r="1187" spans="1:4" x14ac:dyDescent="0.2">
      <c r="A1187" s="311" t="s">
        <v>3014</v>
      </c>
      <c r="B1187" t="b">
        <f>IF(ISBLANK(NeoBerLab!$C$28),"",NeoBerLab!$C$28)</f>
        <v>0</v>
      </c>
      <c r="C1187" s="311" t="b">
        <v>0</v>
      </c>
    </row>
    <row r="1188" spans="1:4" x14ac:dyDescent="0.2">
      <c r="A1188" s="311" t="s">
        <v>3015</v>
      </c>
      <c r="B1188" t="b">
        <f>IF(ISBLANK(NeoBerLab!$C$29),"",NeoBerLab!$C$29)</f>
        <v>0</v>
      </c>
      <c r="C1188" s="311" t="b">
        <v>0</v>
      </c>
    </row>
    <row r="1189" spans="1:4" x14ac:dyDescent="0.2">
      <c r="A1189" s="311" t="s">
        <v>3016</v>
      </c>
      <c r="B1189" t="b">
        <f>IF(ISBLANK(NeoBerLab!$C$30),"",NeoBerLab!$C$30)</f>
        <v>0</v>
      </c>
      <c r="C1189" s="311" t="b">
        <v>0</v>
      </c>
    </row>
    <row r="1190" spans="1:4" x14ac:dyDescent="0.2">
      <c r="A1190" s="311" t="s">
        <v>3017</v>
      </c>
      <c r="B1190" t="b">
        <f>IF(ISBLANK(NeoBerLab!$C$31),"",NeoBerLab!$C$31)</f>
        <v>0</v>
      </c>
      <c r="C1190" s="311" t="b">
        <v>0</v>
      </c>
    </row>
    <row r="1191" spans="1:4" x14ac:dyDescent="0.2">
      <c r="A1191" s="311" t="s">
        <v>3018</v>
      </c>
      <c r="B1191" t="b">
        <f>IF(ISBLANK(NeoBerLab!$C$32),"",NeoBerLab!$C$32)</f>
        <v>0</v>
      </c>
      <c r="C1191" s="311" t="b">
        <v>0</v>
      </c>
    </row>
    <row r="1192" spans="1:4" x14ac:dyDescent="0.2">
      <c r="A1192" s="311" t="s">
        <v>3019</v>
      </c>
      <c r="B1192" t="b">
        <f>IF(ISBLANK(NeoBerLab!$C$33),"",NeoBerLab!$C$33)</f>
        <v>0</v>
      </c>
      <c r="C1192" s="311" t="b">
        <v>0</v>
      </c>
    </row>
    <row r="1193" spans="1:4" x14ac:dyDescent="0.2">
      <c r="A1193" s="311" t="s">
        <v>3020</v>
      </c>
      <c r="B1193" t="b">
        <f>IF(ISBLANK(NeoBerLab!$C$34),"",NeoBerLab!$C$34)</f>
        <v>0</v>
      </c>
      <c r="C1193" s="311" t="b">
        <v>0</v>
      </c>
    </row>
    <row r="1194" spans="1:4" x14ac:dyDescent="0.2">
      <c r="A1194" s="311" t="s">
        <v>3021</v>
      </c>
      <c r="B1194" t="b">
        <f>IF(ISBLANK(NeoBerLab!$C$35),"",NeoBerLab!$C$35)</f>
        <v>0</v>
      </c>
      <c r="C1194" s="311" t="b">
        <v>0</v>
      </c>
    </row>
    <row r="1195" spans="1:4" s="311" customFormat="1" x14ac:dyDescent="0.2">
      <c r="A1195" s="311" t="s">
        <v>3955</v>
      </c>
      <c r="B1195" s="311">
        <f>IF(ISBLANK(PatDetails!$B$8),"",PatDetails!$B$8)</f>
        <v>0</v>
      </c>
      <c r="C1195" s="313">
        <v>0</v>
      </c>
    </row>
    <row r="1196" spans="1:4" s="311" customFormat="1" x14ac:dyDescent="0.2">
      <c r="A1196" s="311" t="s">
        <v>5123</v>
      </c>
      <c r="B1196" s="311">
        <f>IF(ISBLANK(PatDetails!$B$10),"",PatDetails!$B$10)</f>
        <v>0</v>
      </c>
      <c r="C1196" s="313">
        <v>0</v>
      </c>
    </row>
    <row r="1197" spans="1:4" s="311" customFormat="1" x14ac:dyDescent="0.2">
      <c r="A1197" s="311" t="s">
        <v>5124</v>
      </c>
      <c r="B1197" s="311">
        <f>IF(ISBLANK(PatDetails!$B$11),"",PatDetails!$B$11)</f>
        <v>0</v>
      </c>
      <c r="C1197" s="313">
        <v>0</v>
      </c>
    </row>
    <row r="1198" spans="1:4" x14ac:dyDescent="0.2">
      <c r="A1198" s="311" t="s">
        <v>3323</v>
      </c>
      <c r="B1198">
        <f>IF(ISBLANK(PatDetails!$B$6),"",PatDetails!$B$6)</f>
        <v>0</v>
      </c>
      <c r="C1198" s="313">
        <v>0</v>
      </c>
    </row>
    <row r="1199" spans="1:4" x14ac:dyDescent="0.2">
      <c r="A1199" s="311" t="s">
        <v>3324</v>
      </c>
      <c r="B1199">
        <f>IF(ISBLANK(PatDetails!$B$7),"",PatDetails!$B$7)</f>
        <v>0</v>
      </c>
      <c r="C1199" s="313">
        <v>0</v>
      </c>
    </row>
    <row r="1200" spans="1:4" x14ac:dyDescent="0.2">
      <c r="A1200" s="311" t="s">
        <v>3320</v>
      </c>
      <c r="B1200" s="24">
        <f>IF(ISBLANK(PatDetails!$B$9),"",PatDetails!$B$9)</f>
        <v>1462</v>
      </c>
      <c r="C1200" s="128">
        <f>EmptyDate()</f>
        <v>1462</v>
      </c>
      <c r="D1200" s="128"/>
    </row>
    <row r="1201" spans="1:3" x14ac:dyDescent="0.2">
      <c r="A1201" s="311" t="s">
        <v>1912</v>
      </c>
      <c r="B1201" t="b">
        <f>IF(ISBLANK(PedBerAfspr!$D$11),"",PedBerAfspr!$D$11)</f>
        <v>0</v>
      </c>
      <c r="C1201" t="b">
        <v>0</v>
      </c>
    </row>
    <row r="1202" spans="1:3" x14ac:dyDescent="0.2">
      <c r="A1202" s="311" t="s">
        <v>1913</v>
      </c>
      <c r="B1202" t="b">
        <f>IF(ISBLANK(PedBerAfspr!$D$12),"",PedBerAfspr!$D$12)</f>
        <v>0</v>
      </c>
      <c r="C1202" s="311" t="b">
        <v>0</v>
      </c>
    </row>
    <row r="1203" spans="1:3" x14ac:dyDescent="0.2">
      <c r="A1203" s="311" t="s">
        <v>1914</v>
      </c>
      <c r="B1203" t="b">
        <f>IF(ISBLANK(PedBerAfspr!$D$13),"",PedBerAfspr!$D$13)</f>
        <v>0</v>
      </c>
      <c r="C1203" s="311" t="b">
        <v>0</v>
      </c>
    </row>
    <row r="1204" spans="1:3" x14ac:dyDescent="0.2">
      <c r="A1204" s="311" t="s">
        <v>1915</v>
      </c>
      <c r="B1204" t="b">
        <f>IF(ISBLANK(PedBerAfspr!$D$14),"",PedBerAfspr!$D$14)</f>
        <v>0</v>
      </c>
      <c r="C1204" s="311" t="b">
        <v>0</v>
      </c>
    </row>
    <row r="1205" spans="1:3" x14ac:dyDescent="0.2">
      <c r="A1205" s="311" t="s">
        <v>1916</v>
      </c>
      <c r="B1205" t="b">
        <f>IF(ISBLANK(PedBerAfspr!$B$10),"",PedBerAfspr!$B$10)</f>
        <v>0</v>
      </c>
      <c r="C1205" s="311" t="b">
        <v>0</v>
      </c>
    </row>
    <row r="1206" spans="1:3" x14ac:dyDescent="0.2">
      <c r="A1206" s="311" t="s">
        <v>1917</v>
      </c>
      <c r="B1206" t="b">
        <f>IF(ISBLANK(PedBerAfspr!$F$7),"",PedBerAfspr!$F$7)</f>
        <v>0</v>
      </c>
      <c r="C1206" s="311" t="b">
        <v>0</v>
      </c>
    </row>
    <row r="1207" spans="1:3" x14ac:dyDescent="0.2">
      <c r="A1207" s="311" t="s">
        <v>1918</v>
      </c>
      <c r="B1207" t="b">
        <f>IF(ISBLANK(PedBerAfspr!$B$20),"",PedBerAfspr!$B$20)</f>
        <v>0</v>
      </c>
      <c r="C1207" s="311" t="b">
        <v>0</v>
      </c>
    </row>
    <row r="1208" spans="1:3" x14ac:dyDescent="0.2">
      <c r="A1208" s="311" t="s">
        <v>1919</v>
      </c>
      <c r="B1208" t="b">
        <f>IF(ISBLANK(PedBerAfspr!$F$10),"",PedBerAfspr!$F$10)</f>
        <v>0</v>
      </c>
      <c r="C1208" s="311" t="b">
        <v>0</v>
      </c>
    </row>
    <row r="1209" spans="1:3" x14ac:dyDescent="0.2">
      <c r="A1209" s="311" t="s">
        <v>1920</v>
      </c>
      <c r="B1209" t="b">
        <f>IF(ISBLANK(PedBerAfspr!$B$21),"",PedBerAfspr!$B$21)</f>
        <v>0</v>
      </c>
      <c r="C1209" s="311" t="b">
        <v>0</v>
      </c>
    </row>
    <row r="1210" spans="1:3" x14ac:dyDescent="0.2">
      <c r="A1210" s="311" t="s">
        <v>1921</v>
      </c>
      <c r="B1210" t="b">
        <f>IF(ISBLANK(PedBerAfspr!$F$12),"",PedBerAfspr!$F$12)</f>
        <v>0</v>
      </c>
      <c r="C1210" s="311" t="b">
        <v>0</v>
      </c>
    </row>
    <row r="1211" spans="1:3" x14ac:dyDescent="0.2">
      <c r="A1211" s="311" t="s">
        <v>1922</v>
      </c>
      <c r="B1211" t="b">
        <f>IF(ISBLANK(PedBerAfspr!$B$42),"",PedBerAfspr!$B$42)</f>
        <v>0</v>
      </c>
      <c r="C1211" s="311" t="b">
        <v>0</v>
      </c>
    </row>
    <row r="1212" spans="1:3" x14ac:dyDescent="0.2">
      <c r="A1212" s="311" t="s">
        <v>1923</v>
      </c>
      <c r="B1212" t="b">
        <f>IF(ISBLANK(PedBerAfspr!$B$7),"",PedBerAfspr!$B$7)</f>
        <v>0</v>
      </c>
      <c r="C1212" s="311" t="b">
        <v>0</v>
      </c>
    </row>
    <row r="1213" spans="1:3" x14ac:dyDescent="0.2">
      <c r="A1213" s="311" t="s">
        <v>1924</v>
      </c>
      <c r="B1213" t="b">
        <f>IF(ISBLANK(PedBerAfspr!$F$15),"",PedBerAfspr!$F$15)</f>
        <v>0</v>
      </c>
      <c r="C1213" s="311" t="b">
        <v>0</v>
      </c>
    </row>
    <row r="1214" spans="1:3" x14ac:dyDescent="0.2">
      <c r="A1214" s="311" t="s">
        <v>1925</v>
      </c>
      <c r="B1214" t="b">
        <f>IF(ISBLANK(PedBerAfspr!$F$13),"",PedBerAfspr!$F$13)</f>
        <v>0</v>
      </c>
      <c r="C1214" s="311" t="b">
        <v>0</v>
      </c>
    </row>
    <row r="1215" spans="1:3" x14ac:dyDescent="0.2">
      <c r="A1215" s="311" t="s">
        <v>1926</v>
      </c>
      <c r="B1215" t="b">
        <f>IF(ISBLANK(PedBerAfspr!$B$24),"",PedBerAfspr!$B$24)</f>
        <v>0</v>
      </c>
      <c r="C1215" s="311" t="b">
        <v>0</v>
      </c>
    </row>
    <row r="1216" spans="1:3" x14ac:dyDescent="0.2">
      <c r="A1216" s="311" t="s">
        <v>1927</v>
      </c>
      <c r="B1216" t="b">
        <f>IF(ISBLANK(PedBerAfspr!$B$8),"",PedBerAfspr!$B$8)</f>
        <v>0</v>
      </c>
      <c r="C1216" s="311" t="b">
        <v>0</v>
      </c>
    </row>
    <row r="1217" spans="1:3" x14ac:dyDescent="0.2">
      <c r="A1217" s="311" t="s">
        <v>1928</v>
      </c>
      <c r="B1217" t="b">
        <f>IF(ISBLANK(PedBerAfspr!$B$39),"",PedBerAfspr!$B$39)</f>
        <v>0</v>
      </c>
      <c r="C1217" s="311" t="b">
        <v>0</v>
      </c>
    </row>
    <row r="1218" spans="1:3" x14ac:dyDescent="0.2">
      <c r="A1218" s="311" t="s">
        <v>1929</v>
      </c>
      <c r="B1218" t="b">
        <f>IF(ISBLANK(PedBerAfspr!$F$16),"",PedBerAfspr!$F$16)</f>
        <v>0</v>
      </c>
      <c r="C1218" s="311" t="b">
        <v>0</v>
      </c>
    </row>
    <row r="1219" spans="1:3" x14ac:dyDescent="0.2">
      <c r="A1219" s="311" t="s">
        <v>1930</v>
      </c>
      <c r="B1219" t="b">
        <f>IF(ISBLANK(PedBerAfspr!$F$9),"",PedBerAfspr!$F$9)</f>
        <v>0</v>
      </c>
      <c r="C1219" s="311" t="b">
        <v>0</v>
      </c>
    </row>
    <row r="1220" spans="1:3" x14ac:dyDescent="0.2">
      <c r="A1220" s="311" t="s">
        <v>1931</v>
      </c>
      <c r="B1220" t="b">
        <f>IF(ISBLANK(PedBerAfspr!$B$11),"",PedBerAfspr!$B$11)</f>
        <v>0</v>
      </c>
      <c r="C1220" s="311" t="b">
        <v>0</v>
      </c>
    </row>
    <row r="1221" spans="1:3" x14ac:dyDescent="0.2">
      <c r="A1221" s="311" t="s">
        <v>1932</v>
      </c>
      <c r="B1221" t="b">
        <f>IF(ISBLANK(PedBerAfspr!$B$15),"",PedBerAfspr!$B$15)</f>
        <v>0</v>
      </c>
      <c r="C1221" s="311" t="b">
        <v>0</v>
      </c>
    </row>
    <row r="1222" spans="1:3" x14ac:dyDescent="0.2">
      <c r="A1222" s="311" t="s">
        <v>1933</v>
      </c>
      <c r="B1222" t="b">
        <f>IF(ISBLANK(PedBerAfspr!$B$22),"",PedBerAfspr!$B$22)</f>
        <v>0</v>
      </c>
      <c r="C1222" s="311" t="b">
        <v>0</v>
      </c>
    </row>
    <row r="1223" spans="1:3" x14ac:dyDescent="0.2">
      <c r="A1223" s="311" t="s">
        <v>1934</v>
      </c>
      <c r="B1223" t="b">
        <f>IF(ISBLANK(PedBerAfspr!$B$23),"",PedBerAfspr!$B$23)</f>
        <v>0</v>
      </c>
      <c r="C1223" s="311" t="b">
        <v>0</v>
      </c>
    </row>
    <row r="1224" spans="1:3" x14ac:dyDescent="0.2">
      <c r="A1224" s="311" t="s">
        <v>1935</v>
      </c>
      <c r="B1224" t="b">
        <f>IF(ISBLANK(PedBerAfspr!$F$11),"",PedBerAfspr!$F$11)</f>
        <v>0</v>
      </c>
      <c r="C1224" s="311" t="b">
        <v>0</v>
      </c>
    </row>
    <row r="1225" spans="1:3" x14ac:dyDescent="0.2">
      <c r="A1225" s="311" t="s">
        <v>1936</v>
      </c>
      <c r="B1225" t="b">
        <f>IF(ISBLANK(PedBerAfspr!$B$36),"",PedBerAfspr!$B$36)</f>
        <v>0</v>
      </c>
      <c r="C1225" s="311" t="b">
        <v>0</v>
      </c>
    </row>
    <row r="1226" spans="1:3" x14ac:dyDescent="0.2">
      <c r="A1226" s="311" t="s">
        <v>1937</v>
      </c>
      <c r="B1226" t="b">
        <f>IF(ISBLANK(PedBerAfspr!$D$36),"",PedBerAfspr!$D$36)</f>
        <v>0</v>
      </c>
      <c r="C1226" s="311" t="b">
        <v>0</v>
      </c>
    </row>
    <row r="1227" spans="1:3" x14ac:dyDescent="0.2">
      <c r="A1227" s="311" t="s">
        <v>1938</v>
      </c>
      <c r="B1227" t="b">
        <f>IF(ISBLANK(PedBerAfspr!$B$37),"",PedBerAfspr!$B$37)</f>
        <v>0</v>
      </c>
      <c r="C1227" s="311" t="b">
        <v>0</v>
      </c>
    </row>
    <row r="1228" spans="1:3" x14ac:dyDescent="0.2">
      <c r="A1228" s="311" t="s">
        <v>1939</v>
      </c>
      <c r="B1228" t="b">
        <f>IF(ISBLANK(PedBerAfspr!$D$37),"",PedBerAfspr!$D$37)</f>
        <v>0</v>
      </c>
      <c r="C1228" s="311" t="b">
        <v>0</v>
      </c>
    </row>
    <row r="1229" spans="1:3" x14ac:dyDescent="0.2">
      <c r="A1229" s="311" t="s">
        <v>1940</v>
      </c>
      <c r="B1229" t="b">
        <f>IF(ISBLANK(PedBerAfspr!$B$43),"",PedBerAfspr!$B$43)</f>
        <v>0</v>
      </c>
      <c r="C1229" s="311" t="b">
        <v>0</v>
      </c>
    </row>
    <row r="1230" spans="1:3" x14ac:dyDescent="0.2">
      <c r="A1230" s="311" t="s">
        <v>1941</v>
      </c>
      <c r="B1230" t="b">
        <f>IF(ISBLANK(PedBerAfspr!$B$38),"",PedBerAfspr!$B$38)</f>
        <v>0</v>
      </c>
      <c r="C1230" s="311" t="b">
        <v>0</v>
      </c>
    </row>
    <row r="1231" spans="1:3" x14ac:dyDescent="0.2">
      <c r="A1231" s="311" t="s">
        <v>1942</v>
      </c>
      <c r="B1231" t="b">
        <f>IF(ISBLANK(PedBerAfspr!$D$38),"",PedBerAfspr!$D$38)</f>
        <v>0</v>
      </c>
      <c r="C1231" s="311" t="b">
        <v>0</v>
      </c>
    </row>
    <row r="1232" spans="1:3" x14ac:dyDescent="0.2">
      <c r="A1232" s="311" t="s">
        <v>1943</v>
      </c>
      <c r="B1232" t="b">
        <f>IF(ISBLANK(PedBerAfspr!$B$16),"",PedBerAfspr!$B$16)</f>
        <v>0</v>
      </c>
      <c r="C1232" s="311" t="b">
        <v>0</v>
      </c>
    </row>
    <row r="1233" spans="1:3" x14ac:dyDescent="0.2">
      <c r="A1233" s="311" t="s">
        <v>1944</v>
      </c>
      <c r="B1233" t="b">
        <f>IF(ISBLANK(PedBerAfspr!$B$17),"",PedBerAfspr!$B$17)</f>
        <v>0</v>
      </c>
      <c r="C1233" s="311" t="b">
        <v>0</v>
      </c>
    </row>
    <row r="1234" spans="1:3" x14ac:dyDescent="0.2">
      <c r="A1234" s="311" t="s">
        <v>1945</v>
      </c>
      <c r="B1234" t="b">
        <f>IF(ISBLANK(PedBerAfspr!$B$9),"",PedBerAfspr!$B$9)</f>
        <v>0</v>
      </c>
      <c r="C1234" s="311" t="b">
        <v>0</v>
      </c>
    </row>
    <row r="1235" spans="1:3" x14ac:dyDescent="0.2">
      <c r="A1235" s="311" t="s">
        <v>1946</v>
      </c>
      <c r="B1235" t="b">
        <f>IF(ISBLANK(PedBerAfspr!$B$44),"",PedBerAfspr!$B$44)</f>
        <v>0</v>
      </c>
      <c r="C1235" s="311" t="b">
        <v>0</v>
      </c>
    </row>
    <row r="1236" spans="1:3" x14ac:dyDescent="0.2">
      <c r="A1236" s="311" t="s">
        <v>1947</v>
      </c>
      <c r="B1236" t="b">
        <f>IF(ISBLANK(PedBerAfspr!$B$27),"",PedBerAfspr!$B$27)</f>
        <v>0</v>
      </c>
      <c r="C1236" s="311" t="b">
        <v>0</v>
      </c>
    </row>
    <row r="1237" spans="1:3" x14ac:dyDescent="0.2">
      <c r="A1237" s="311" t="s">
        <v>1948</v>
      </c>
      <c r="B1237" t="b">
        <f>IF(ISBLANK(PedBerAfspr!$B$30),"",PedBerAfspr!$B$30)</f>
        <v>0</v>
      </c>
      <c r="C1237" s="311" t="b">
        <v>0</v>
      </c>
    </row>
    <row r="1238" spans="1:3" x14ac:dyDescent="0.2">
      <c r="A1238" s="311" t="s">
        <v>1949</v>
      </c>
      <c r="B1238" t="b">
        <f>IF(ISBLANK(PedBerAfspr!$B$33),"",PedBerAfspr!$B$33)</f>
        <v>0</v>
      </c>
      <c r="C1238" s="311" t="b">
        <v>0</v>
      </c>
    </row>
    <row r="1239" spans="1:3" x14ac:dyDescent="0.2">
      <c r="A1239" s="311" t="s">
        <v>1950</v>
      </c>
      <c r="B1239" t="b">
        <f>IF(ISBLANK(PedBerAfspr!$B$25),"",PedBerAfspr!$B$25)</f>
        <v>0</v>
      </c>
      <c r="C1239" s="311" t="b">
        <v>0</v>
      </c>
    </row>
    <row r="1240" spans="1:3" x14ac:dyDescent="0.2">
      <c r="A1240" s="311" t="s">
        <v>1951</v>
      </c>
      <c r="B1240" t="b">
        <f>IF(ISBLANK(PedBerAfspr!$F$8),"",PedBerAfspr!$F$8)</f>
        <v>0</v>
      </c>
      <c r="C1240" s="311" t="b">
        <v>0</v>
      </c>
    </row>
    <row r="1241" spans="1:3" x14ac:dyDescent="0.2">
      <c r="A1241" s="311" t="s">
        <v>1952</v>
      </c>
      <c r="B1241" t="b">
        <f>IF(ISBLANK(PedBerAfspr!$F$18),"",PedBerAfspr!$F$18)</f>
        <v>0</v>
      </c>
      <c r="C1241" s="311" t="b">
        <v>0</v>
      </c>
    </row>
    <row r="1242" spans="1:3" x14ac:dyDescent="0.2">
      <c r="A1242" s="311" t="s">
        <v>1953</v>
      </c>
      <c r="B1242" t="b">
        <f>IF(ISBLANK(PedBerAfspr!$F$14),"",PedBerAfspr!$F$14)</f>
        <v>0</v>
      </c>
      <c r="C1242" s="311" t="b">
        <v>0</v>
      </c>
    </row>
    <row r="1243" spans="1:3" x14ac:dyDescent="0.2">
      <c r="A1243" s="311" t="s">
        <v>1954</v>
      </c>
      <c r="B1243">
        <f>IF(ISBLANK(PedBerAfspr!$C$42),"",PedBerAfspr!$C$42)</f>
        <v>0</v>
      </c>
      <c r="C1243">
        <v>0</v>
      </c>
    </row>
    <row r="1244" spans="1:3" x14ac:dyDescent="0.2">
      <c r="A1244" s="311" t="s">
        <v>1955</v>
      </c>
      <c r="B1244">
        <f>IF(ISBLANK(PedBerAfspr!$C$7),"",PedBerAfspr!$C$7)</f>
        <v>0</v>
      </c>
      <c r="C1244">
        <v>0</v>
      </c>
    </row>
    <row r="1245" spans="1:3" x14ac:dyDescent="0.2">
      <c r="A1245" s="311" t="s">
        <v>1956</v>
      </c>
      <c r="B1245">
        <f>IF(ISBLANK(PedBerAfspr!$D$7),"",PedBerAfspr!$D$7)</f>
        <v>0</v>
      </c>
      <c r="C1245">
        <v>0</v>
      </c>
    </row>
    <row r="1246" spans="1:3" x14ac:dyDescent="0.2">
      <c r="A1246" s="311" t="s">
        <v>1957</v>
      </c>
      <c r="B1246">
        <f>IF(ISBLANK(PedBerAfspr!$C$8),"",PedBerAfspr!$C$8)</f>
        <v>0</v>
      </c>
      <c r="C1246">
        <v>0</v>
      </c>
    </row>
    <row r="1247" spans="1:3" x14ac:dyDescent="0.2">
      <c r="A1247" s="311" t="s">
        <v>1958</v>
      </c>
      <c r="B1247">
        <f>IF(ISBLANK(PedBerAfspr!$D$8),"",PedBerAfspr!$D$8)</f>
        <v>0</v>
      </c>
      <c r="C1247">
        <v>0</v>
      </c>
    </row>
    <row r="1248" spans="1:3" x14ac:dyDescent="0.2">
      <c r="A1248" s="311" t="s">
        <v>1959</v>
      </c>
      <c r="B1248">
        <f>IF(ISBLANK(PedBerAfspr!$D$40),"",PedBerAfspr!$D$40)</f>
        <v>0</v>
      </c>
      <c r="C1248">
        <v>0</v>
      </c>
    </row>
    <row r="1249" spans="1:3" x14ac:dyDescent="0.2">
      <c r="A1249" s="311" t="s">
        <v>1960</v>
      </c>
      <c r="B1249">
        <f>IF(ISBLANK(PedBerAfspr!$D$39),"",PedBerAfspr!$D$39)</f>
        <v>0</v>
      </c>
      <c r="C1249">
        <v>0</v>
      </c>
    </row>
    <row r="1250" spans="1:3" x14ac:dyDescent="0.2">
      <c r="A1250" s="311" t="s">
        <v>1961</v>
      </c>
      <c r="B1250">
        <f>IF(ISBLANK(PedBerAfspr!$G$16),"",PedBerAfspr!$G$16)</f>
        <v>0</v>
      </c>
      <c r="C1250">
        <v>0</v>
      </c>
    </row>
    <row r="1251" spans="1:3" x14ac:dyDescent="0.2">
      <c r="A1251" s="311" t="s">
        <v>1962</v>
      </c>
      <c r="B1251">
        <f>IF(ISBLANK(PedBerAfspr!$B$12),"",PedBerAfspr!$B$12)</f>
        <v>0</v>
      </c>
      <c r="C1251">
        <v>0</v>
      </c>
    </row>
    <row r="1252" spans="1:3" x14ac:dyDescent="0.2">
      <c r="A1252" s="311" t="s">
        <v>1963</v>
      </c>
      <c r="B1252" t="str">
        <f>IF(ISBLANK(PedBerAfspr!$F$17),"",PedBerAfspr!$F$17)</f>
        <v/>
      </c>
      <c r="C1252" s="130"/>
    </row>
    <row r="1253" spans="1:3" x14ac:dyDescent="0.2">
      <c r="A1253" s="311" t="s">
        <v>1964</v>
      </c>
      <c r="B1253">
        <f>IF(ISBLANK(PedBerAfspr!$C$9),"",PedBerAfspr!$C$9)</f>
        <v>0</v>
      </c>
      <c r="C1253">
        <v>0</v>
      </c>
    </row>
    <row r="1254" spans="1:3" x14ac:dyDescent="0.2">
      <c r="A1254" s="311" t="s">
        <v>1965</v>
      </c>
      <c r="B1254">
        <f>IF(ISBLANK(PedBerAfspr!$D$9),"",PedBerAfspr!$D$9)</f>
        <v>1</v>
      </c>
      <c r="C1254">
        <v>1</v>
      </c>
    </row>
    <row r="1255" spans="1:3" x14ac:dyDescent="0.2">
      <c r="A1255" s="311" t="s">
        <v>1966</v>
      </c>
      <c r="B1255">
        <f>IF(ISBLANK(PedBerAfspr!$D$29),"",PedBerAfspr!$D$29)</f>
        <v>1</v>
      </c>
      <c r="C1255">
        <v>1</v>
      </c>
    </row>
    <row r="1256" spans="1:3" x14ac:dyDescent="0.2">
      <c r="A1256" s="311" t="s">
        <v>1967</v>
      </c>
      <c r="B1256">
        <f>IF(ISBLANK(PedBerAfspr!$D$27),"",PedBerAfspr!$D$27)</f>
        <v>1</v>
      </c>
      <c r="C1256">
        <v>1</v>
      </c>
    </row>
    <row r="1257" spans="1:3" x14ac:dyDescent="0.2">
      <c r="A1257" s="311" t="s">
        <v>1968</v>
      </c>
      <c r="B1257">
        <f>IF(ISBLANK(PedBerAfspr!$D$28),"",PedBerAfspr!$D$28)</f>
        <v>1</v>
      </c>
      <c r="C1257">
        <v>1</v>
      </c>
    </row>
    <row r="1258" spans="1:3" x14ac:dyDescent="0.2">
      <c r="A1258" s="311" t="s">
        <v>1969</v>
      </c>
      <c r="B1258">
        <f>IF(ISBLANK(PedBerAfspr!$D$32),"",PedBerAfspr!$D$32)</f>
        <v>1</v>
      </c>
      <c r="C1258">
        <v>1</v>
      </c>
    </row>
    <row r="1259" spans="1:3" x14ac:dyDescent="0.2">
      <c r="A1259" s="311" t="s">
        <v>1970</v>
      </c>
      <c r="B1259">
        <f>IF(ISBLANK(PedBerAfspr!$D$30),"",PedBerAfspr!$D$30)</f>
        <v>1</v>
      </c>
      <c r="C1259">
        <v>1</v>
      </c>
    </row>
    <row r="1260" spans="1:3" x14ac:dyDescent="0.2">
      <c r="A1260" s="311" t="s">
        <v>1971</v>
      </c>
      <c r="B1260">
        <f>IF(ISBLANK(PedBerAfspr!$D$31),"",PedBerAfspr!$D$31)</f>
        <v>1</v>
      </c>
      <c r="C1260">
        <v>1</v>
      </c>
    </row>
    <row r="1261" spans="1:3" x14ac:dyDescent="0.2">
      <c r="A1261" s="311" t="s">
        <v>1972</v>
      </c>
      <c r="B1261">
        <f>IF(ISBLANK(PedBerAfspr!$D$35),"",PedBerAfspr!$D$35)</f>
        <v>1</v>
      </c>
      <c r="C1261">
        <v>1</v>
      </c>
    </row>
    <row r="1262" spans="1:3" x14ac:dyDescent="0.2">
      <c r="A1262" s="311" t="s">
        <v>1973</v>
      </c>
      <c r="B1262">
        <f>IF(ISBLANK(PedBerAfspr!$D$33),"",PedBerAfspr!$D$33)</f>
        <v>1</v>
      </c>
      <c r="C1262">
        <v>1</v>
      </c>
    </row>
    <row r="1263" spans="1:3" x14ac:dyDescent="0.2">
      <c r="A1263" s="311" t="s">
        <v>1974</v>
      </c>
      <c r="B1263">
        <f>IF(ISBLANK(PedBerAfspr!$D$34),"",PedBerAfspr!$D$34)</f>
        <v>1</v>
      </c>
      <c r="C1263">
        <v>1</v>
      </c>
    </row>
    <row r="1264" spans="1:3" x14ac:dyDescent="0.2">
      <c r="A1264" s="311" t="s">
        <v>3022</v>
      </c>
      <c r="B1264" t="str">
        <f>IF(ISBLANK(PedBerAfspr!$H$18),"",PedBerAfspr!$H$18)</f>
        <v/>
      </c>
      <c r="C1264">
        <v>0</v>
      </c>
    </row>
    <row r="1265" spans="1:3" x14ac:dyDescent="0.2">
      <c r="A1265" s="311" t="s">
        <v>1975</v>
      </c>
      <c r="B1265" t="str">
        <f>IF(ISBLANK(PedBerAfspr!$H$18),"",PedBerAfspr!$H$18)</f>
        <v/>
      </c>
      <c r="C1265" s="130"/>
    </row>
    <row r="1266" spans="1:3" x14ac:dyDescent="0.2">
      <c r="A1266" s="311" t="s">
        <v>1976</v>
      </c>
      <c r="B1266">
        <f>IF(ISBLANK(PedBerAfspr!$G$18),"",PedBerAfspr!$G$18)</f>
        <v>0</v>
      </c>
      <c r="C1266">
        <v>0</v>
      </c>
    </row>
    <row r="1267" spans="1:3" x14ac:dyDescent="0.2">
      <c r="A1267" s="311" t="s">
        <v>1791</v>
      </c>
      <c r="B1267" t="str">
        <f>IF(ISBLANK(PedBerAfspr!$F$17),"",PedBerAfspr!$F$17)</f>
        <v/>
      </c>
      <c r="C1267" s="130"/>
    </row>
    <row r="1268" spans="1:3" x14ac:dyDescent="0.2">
      <c r="A1268" s="311" t="s">
        <v>3023</v>
      </c>
      <c r="B1268">
        <f>IF(ISBLANK(PedBerEnt!$B$3),"",PedBerEnt!$B$3)</f>
        <v>1</v>
      </c>
      <c r="C1268">
        <v>1</v>
      </c>
    </row>
    <row r="1269" spans="1:3" x14ac:dyDescent="0.2">
      <c r="A1269" s="311" t="s">
        <v>3024</v>
      </c>
      <c r="B1269">
        <f>IF(ISBLANK(PedBerEnt!$B$4),"",PedBerEnt!$B$4)</f>
        <v>1</v>
      </c>
      <c r="C1269" s="311">
        <v>1</v>
      </c>
    </row>
    <row r="1270" spans="1:3" x14ac:dyDescent="0.2">
      <c r="A1270" s="311" t="s">
        <v>3025</v>
      </c>
      <c r="B1270">
        <f>IF(ISBLANK(PedBerEnt!$B$5),"",PedBerEnt!$B$5)</f>
        <v>1</v>
      </c>
      <c r="C1270" s="311">
        <v>1</v>
      </c>
    </row>
    <row r="1271" spans="1:3" x14ac:dyDescent="0.2">
      <c r="A1271" s="311" t="s">
        <v>3026</v>
      </c>
      <c r="B1271">
        <f>IF(ISBLANK(PedBerEnt!$B$6),"",PedBerEnt!$B$6)</f>
        <v>1</v>
      </c>
      <c r="C1271" s="311">
        <v>1</v>
      </c>
    </row>
    <row r="1272" spans="1:3" x14ac:dyDescent="0.2">
      <c r="A1272" s="311" t="s">
        <v>3027</v>
      </c>
      <c r="B1272">
        <f>IF(ISBLANK(PedBerEnt!$F$3),"",PedBerEnt!$F$3)</f>
        <v>1</v>
      </c>
      <c r="C1272" s="311">
        <v>1</v>
      </c>
    </row>
    <row r="1273" spans="1:3" x14ac:dyDescent="0.2">
      <c r="A1273" s="311" t="s">
        <v>3028</v>
      </c>
      <c r="B1273">
        <f>IF(ISBLANK(PedBerEnt!$F$4),"",PedBerEnt!$F$4)</f>
        <v>1</v>
      </c>
      <c r="C1273" s="311">
        <v>1</v>
      </c>
    </row>
    <row r="1274" spans="1:3" x14ac:dyDescent="0.2">
      <c r="A1274" s="311" t="s">
        <v>3029</v>
      </c>
      <c r="B1274">
        <f>IF(ISBLANK(PedBerEnt!$F$5),"",PedBerEnt!$F$5)</f>
        <v>1</v>
      </c>
      <c r="C1274" s="311">
        <v>1</v>
      </c>
    </row>
    <row r="1275" spans="1:3" x14ac:dyDescent="0.2">
      <c r="A1275" s="311" t="s">
        <v>3030</v>
      </c>
      <c r="B1275">
        <f>IF(ISBLANK(PedBerEnt!$F$6),"",PedBerEnt!$F$6)</f>
        <v>1</v>
      </c>
      <c r="C1275" s="311">
        <v>1</v>
      </c>
    </row>
    <row r="1276" spans="1:3" x14ac:dyDescent="0.2">
      <c r="A1276" s="311" t="s">
        <v>3031</v>
      </c>
      <c r="B1276" t="str">
        <f>IF(ISBLANK(PedBerEnt!$B$8),"",PedBerEnt!$B$8)</f>
        <v/>
      </c>
    </row>
    <row r="1277" spans="1:3" x14ac:dyDescent="0.2">
      <c r="A1277" s="311" t="s">
        <v>3032</v>
      </c>
      <c r="B1277">
        <f>IF(ISBLANK(PedBerEnt!$G$3),"",PedBerEnt!$G$3)</f>
        <v>1</v>
      </c>
      <c r="C1277">
        <v>1</v>
      </c>
    </row>
    <row r="1278" spans="1:3" x14ac:dyDescent="0.2">
      <c r="A1278" s="311" t="s">
        <v>3045</v>
      </c>
      <c r="B1278">
        <f>IF(ISBLANK(PedBerEnt!$C$3),"",PedBerEnt!$C$3)</f>
        <v>0</v>
      </c>
      <c r="C1278" s="313">
        <v>0</v>
      </c>
    </row>
    <row r="1279" spans="1:3" x14ac:dyDescent="0.2">
      <c r="A1279" s="311" t="s">
        <v>3046</v>
      </c>
      <c r="B1279">
        <f>IF(ISBLANK(PedBerEnt!$C$4),"",PedBerEnt!$C$4)</f>
        <v>0</v>
      </c>
      <c r="C1279" s="313">
        <v>0</v>
      </c>
    </row>
    <row r="1280" spans="1:3" x14ac:dyDescent="0.2">
      <c r="A1280" s="311" t="s">
        <v>3047</v>
      </c>
      <c r="B1280">
        <f>IF(ISBLANK(PedBerEnt!$C$5),"",PedBerEnt!$C$5)</f>
        <v>0</v>
      </c>
      <c r="C1280" s="313">
        <v>0</v>
      </c>
    </row>
    <row r="1281" spans="1:3" x14ac:dyDescent="0.2">
      <c r="A1281" s="311" t="s">
        <v>3048</v>
      </c>
      <c r="B1281">
        <f>IF(ISBLANK(PedBerEnt!$C$6),"",PedBerEnt!$C$6)</f>
        <v>0</v>
      </c>
      <c r="C1281" s="313">
        <v>0</v>
      </c>
    </row>
    <row r="1282" spans="1:3" x14ac:dyDescent="0.2">
      <c r="A1282" s="311" t="s">
        <v>1046</v>
      </c>
      <c r="B1282">
        <f>IF(ISBLANK(PedBerIVenPM!$B$2),"",PedBerIVenPM!$B$2)</f>
        <v>1</v>
      </c>
      <c r="C1282">
        <v>1</v>
      </c>
    </row>
    <row r="1283" spans="1:3" x14ac:dyDescent="0.2">
      <c r="A1283" s="311" t="s">
        <v>1047</v>
      </c>
      <c r="B1283">
        <f>IF(ISBLANK(PedBerIVenPM!$B$3),"",PedBerIVenPM!$B$3)</f>
        <v>1</v>
      </c>
      <c r="C1283">
        <v>1</v>
      </c>
    </row>
    <row r="1284" spans="1:3" x14ac:dyDescent="0.2">
      <c r="A1284" s="311" t="s">
        <v>1048</v>
      </c>
      <c r="B1284">
        <f>IF(ISBLANK(PedBerIVenPM!$B$4),"",PedBerIVenPM!$B$4)</f>
        <v>1</v>
      </c>
      <c r="C1284">
        <v>1</v>
      </c>
    </row>
    <row r="1285" spans="1:3" x14ac:dyDescent="0.2">
      <c r="A1285" s="311" t="s">
        <v>1049</v>
      </c>
      <c r="B1285">
        <f>IF(ISBLANK(PedBerIVenPM!$B$5),"",PedBerIVenPM!$B$5)</f>
        <v>1</v>
      </c>
      <c r="C1285">
        <v>1</v>
      </c>
    </row>
    <row r="1286" spans="1:3" x14ac:dyDescent="0.2">
      <c r="A1286" s="311" t="s">
        <v>1050</v>
      </c>
      <c r="B1286">
        <f>IF(ISBLANK(PedBerIVenPM!$B$6),"",PedBerIVenPM!$B$6)</f>
        <v>1</v>
      </c>
      <c r="C1286">
        <v>1</v>
      </c>
    </row>
    <row r="1287" spans="1:3" x14ac:dyDescent="0.2">
      <c r="A1287" s="311" t="s">
        <v>1051</v>
      </c>
      <c r="B1287">
        <f>IF(ISBLANK(PedBerIVenPM!$B$7),"",PedBerIVenPM!$B$7)</f>
        <v>1</v>
      </c>
      <c r="C1287">
        <v>1</v>
      </c>
    </row>
    <row r="1288" spans="1:3" x14ac:dyDescent="0.2">
      <c r="A1288" s="311" t="s">
        <v>3049</v>
      </c>
      <c r="B1288" t="str">
        <f>IF(ISBLANK(PedBerIVenPM!$B$9),"",PedBerIVenPM!$B$9)</f>
        <v/>
      </c>
      <c r="C1288" s="130"/>
    </row>
    <row r="1289" spans="1:3" x14ac:dyDescent="0.2">
      <c r="A1289" s="311" t="s">
        <v>3050</v>
      </c>
      <c r="B1289" t="b">
        <f>IF(ISBLANK(PedBerLab!$E$4),"",PedBerLab!$E$4)</f>
        <v>0</v>
      </c>
      <c r="C1289" t="b">
        <v>0</v>
      </c>
    </row>
    <row r="1290" spans="1:3" x14ac:dyDescent="0.2">
      <c r="A1290" s="311" t="s">
        <v>3051</v>
      </c>
      <c r="B1290" t="b">
        <f>IF(ISBLANK(PedBerLab!$E$5),"",PedBerLab!$E$5)</f>
        <v>0</v>
      </c>
      <c r="C1290" s="311" t="b">
        <v>0</v>
      </c>
    </row>
    <row r="1291" spans="1:3" x14ac:dyDescent="0.2">
      <c r="A1291" s="311" t="s">
        <v>3052</v>
      </c>
      <c r="B1291" t="b">
        <f>IF(ISBLANK(PedBerLab!$E$6),"",PedBerLab!$E$6)</f>
        <v>0</v>
      </c>
      <c r="C1291" s="311" t="b">
        <v>0</v>
      </c>
    </row>
    <row r="1292" spans="1:3" x14ac:dyDescent="0.2">
      <c r="A1292" s="311" t="s">
        <v>3053</v>
      </c>
      <c r="B1292" t="b">
        <f>IF(ISBLANK(PedBerLab!$E$7),"",PedBerLab!$E$7)</f>
        <v>0</v>
      </c>
      <c r="C1292" s="311" t="b">
        <v>0</v>
      </c>
    </row>
    <row r="1293" spans="1:3" x14ac:dyDescent="0.2">
      <c r="A1293" s="311" t="s">
        <v>3054</v>
      </c>
      <c r="B1293" t="b">
        <f>IF(ISBLANK(PedBerLab!$E$8),"",PedBerLab!$E$8)</f>
        <v>0</v>
      </c>
      <c r="C1293" s="311" t="b">
        <v>0</v>
      </c>
    </row>
    <row r="1294" spans="1:3" x14ac:dyDescent="0.2">
      <c r="A1294" s="311" t="s">
        <v>3055</v>
      </c>
      <c r="B1294" t="b">
        <f>IF(ISBLANK(PedBerLab!$E$9),"",PedBerLab!$E$9)</f>
        <v>0</v>
      </c>
      <c r="C1294" s="311" t="b">
        <v>0</v>
      </c>
    </row>
    <row r="1295" spans="1:3" x14ac:dyDescent="0.2">
      <c r="A1295" s="311" t="s">
        <v>3056</v>
      </c>
      <c r="B1295" t="b">
        <f>IF(ISBLANK(PedBerLab!$E$10),"",PedBerLab!$E$10)</f>
        <v>0</v>
      </c>
      <c r="C1295" s="311" t="b">
        <v>0</v>
      </c>
    </row>
    <row r="1296" spans="1:3" x14ac:dyDescent="0.2">
      <c r="A1296" s="311" t="s">
        <v>3057</v>
      </c>
      <c r="B1296" t="b">
        <f>IF(ISBLANK(PedBerLab!$E$11),"",PedBerLab!$E$11)</f>
        <v>0</v>
      </c>
      <c r="C1296" s="311" t="b">
        <v>0</v>
      </c>
    </row>
    <row r="1297" spans="1:3" x14ac:dyDescent="0.2">
      <c r="A1297" s="311" t="s">
        <v>3058</v>
      </c>
      <c r="B1297" t="b">
        <f>IF(ISBLANK(PedBerLab!$E$12),"",PedBerLab!$E$12)</f>
        <v>0</v>
      </c>
      <c r="C1297" s="311" t="b">
        <v>0</v>
      </c>
    </row>
    <row r="1298" spans="1:3" x14ac:dyDescent="0.2">
      <c r="A1298" s="311" t="s">
        <v>3059</v>
      </c>
      <c r="B1298" t="b">
        <f>IF(ISBLANK(PedBerLab!$E$13),"",PedBerLab!$E$13)</f>
        <v>0</v>
      </c>
      <c r="C1298" s="311" t="b">
        <v>0</v>
      </c>
    </row>
    <row r="1299" spans="1:3" x14ac:dyDescent="0.2">
      <c r="A1299" s="311" t="s">
        <v>3060</v>
      </c>
      <c r="B1299" t="b">
        <f>IF(ISBLANK(PedBerLab!$E$14),"",PedBerLab!$E$14)</f>
        <v>0</v>
      </c>
      <c r="C1299" s="311" t="b">
        <v>0</v>
      </c>
    </row>
    <row r="1300" spans="1:3" x14ac:dyDescent="0.2">
      <c r="A1300" s="311" t="s">
        <v>3061</v>
      </c>
      <c r="B1300" t="b">
        <f>IF(ISBLANK(PedBerLab!$E$15),"",PedBerLab!$E$15)</f>
        <v>0</v>
      </c>
      <c r="C1300" s="311" t="b">
        <v>0</v>
      </c>
    </row>
    <row r="1301" spans="1:3" x14ac:dyDescent="0.2">
      <c r="A1301" s="311" t="s">
        <v>3062</v>
      </c>
      <c r="B1301" t="b">
        <f>IF(ISBLANK(PedBerLab!$E$16),"",PedBerLab!$E$16)</f>
        <v>0</v>
      </c>
      <c r="C1301" s="311" t="b">
        <v>0</v>
      </c>
    </row>
    <row r="1302" spans="1:3" x14ac:dyDescent="0.2">
      <c r="A1302" s="311" t="s">
        <v>3063</v>
      </c>
      <c r="B1302" t="b">
        <f>IF(ISBLANK(PedBerLab!$E$17),"",PedBerLab!$E$17)</f>
        <v>0</v>
      </c>
      <c r="C1302" s="311" t="b">
        <v>0</v>
      </c>
    </row>
    <row r="1303" spans="1:3" x14ac:dyDescent="0.2">
      <c r="A1303" s="311" t="s">
        <v>3064</v>
      </c>
      <c r="B1303" t="b">
        <f>IF(ISBLANK(PedBerLab!$E$18),"",PedBerLab!$E$18)</f>
        <v>0</v>
      </c>
      <c r="C1303" s="311" t="b">
        <v>0</v>
      </c>
    </row>
    <row r="1304" spans="1:3" x14ac:dyDescent="0.2">
      <c r="A1304" s="311" t="s">
        <v>3065</v>
      </c>
      <c r="B1304" t="b">
        <f>IF(ISBLANK(PedBerLab!$E$19),"",PedBerLab!$E$19)</f>
        <v>0</v>
      </c>
      <c r="C1304" s="311" t="b">
        <v>0</v>
      </c>
    </row>
    <row r="1305" spans="1:3" x14ac:dyDescent="0.2">
      <c r="A1305" s="311" t="s">
        <v>3066</v>
      </c>
      <c r="B1305" t="b">
        <f>IF(ISBLANK(PedBerLab!$E$20),"",PedBerLab!$E$20)</f>
        <v>0</v>
      </c>
      <c r="C1305" s="311" t="b">
        <v>0</v>
      </c>
    </row>
    <row r="1306" spans="1:3" x14ac:dyDescent="0.2">
      <c r="A1306" s="311" t="s">
        <v>3067</v>
      </c>
      <c r="B1306" t="b">
        <f>IF(ISBLANK(PedBerLab!$E$21),"",PedBerLab!$E$21)</f>
        <v>0</v>
      </c>
      <c r="C1306" s="311" t="b">
        <v>0</v>
      </c>
    </row>
    <row r="1307" spans="1:3" x14ac:dyDescent="0.2">
      <c r="A1307" s="311" t="s">
        <v>3068</v>
      </c>
      <c r="B1307" t="b">
        <f>IF(ISBLANK(PedBerLab!$E$22),"",PedBerLab!$E$22)</f>
        <v>0</v>
      </c>
      <c r="C1307" s="311" t="b">
        <v>0</v>
      </c>
    </row>
    <row r="1308" spans="1:3" x14ac:dyDescent="0.2">
      <c r="A1308" s="311" t="s">
        <v>3069</v>
      </c>
      <c r="B1308" t="b">
        <f>IF(ISBLANK(PedBerLab!$E$23),"",PedBerLab!$E$23)</f>
        <v>0</v>
      </c>
      <c r="C1308" s="311" t="b">
        <v>0</v>
      </c>
    </row>
    <row r="1309" spans="1:3" x14ac:dyDescent="0.2">
      <c r="A1309" s="311" t="s">
        <v>3070</v>
      </c>
      <c r="B1309" t="b">
        <f>IF(ISBLANK(PedBerLab!$E$24),"",PedBerLab!$E$24)</f>
        <v>0</v>
      </c>
      <c r="C1309" s="311" t="b">
        <v>0</v>
      </c>
    </row>
    <row r="1310" spans="1:3" x14ac:dyDescent="0.2">
      <c r="A1310" s="311" t="s">
        <v>3071</v>
      </c>
      <c r="B1310" t="b">
        <f>IF(ISBLANK(PedBerLab!$E$25),"",PedBerLab!$E$25)</f>
        <v>0</v>
      </c>
      <c r="C1310" s="311" t="b">
        <v>0</v>
      </c>
    </row>
    <row r="1311" spans="1:3" x14ac:dyDescent="0.2">
      <c r="A1311" s="311" t="s">
        <v>3072</v>
      </c>
      <c r="B1311" t="b">
        <f>IF(ISBLANK(PedBerLab!$E$26),"",PedBerLab!$E$26)</f>
        <v>0</v>
      </c>
      <c r="C1311" s="311" t="b">
        <v>0</v>
      </c>
    </row>
    <row r="1312" spans="1:3" x14ac:dyDescent="0.2">
      <c r="A1312" s="311" t="s">
        <v>3073</v>
      </c>
      <c r="B1312" t="b">
        <f>IF(ISBLANK(PedBerLab!$E$27),"",PedBerLab!$E$27)</f>
        <v>0</v>
      </c>
      <c r="C1312" s="311" t="b">
        <v>0</v>
      </c>
    </row>
    <row r="1313" spans="1:3" x14ac:dyDescent="0.2">
      <c r="A1313" s="311" t="s">
        <v>3074</v>
      </c>
      <c r="B1313" t="b">
        <f>IF(ISBLANK(PedBerLab!$E$28),"",PedBerLab!$E$28)</f>
        <v>0</v>
      </c>
      <c r="C1313" s="311" t="b">
        <v>0</v>
      </c>
    </row>
    <row r="1314" spans="1:3" x14ac:dyDescent="0.2">
      <c r="A1314" s="311" t="s">
        <v>3075</v>
      </c>
      <c r="B1314" t="b">
        <f>IF(ISBLANK(PedBerLab!$E$29),"",PedBerLab!$E$29)</f>
        <v>0</v>
      </c>
      <c r="C1314" s="311" t="b">
        <v>0</v>
      </c>
    </row>
    <row r="1315" spans="1:3" x14ac:dyDescent="0.2">
      <c r="A1315" s="311" t="s">
        <v>3076</v>
      </c>
      <c r="B1315" t="b">
        <f>IF(ISBLANK(PedBerLab!$E$30),"",PedBerLab!$E$30)</f>
        <v>0</v>
      </c>
      <c r="C1315" s="311" t="b">
        <v>0</v>
      </c>
    </row>
    <row r="1316" spans="1:3" x14ac:dyDescent="0.2">
      <c r="A1316" s="311" t="s">
        <v>3077</v>
      </c>
      <c r="B1316" t="b">
        <f>IF(ISBLANK(PedBerLab!$E$31),"",PedBerLab!$E$31)</f>
        <v>0</v>
      </c>
      <c r="C1316" s="311" t="b">
        <v>0</v>
      </c>
    </row>
    <row r="1317" spans="1:3" x14ac:dyDescent="0.2">
      <c r="A1317" s="311" t="s">
        <v>3078</v>
      </c>
      <c r="B1317" t="b">
        <f>IF(ISBLANK(PedBerLab!$E$32),"",PedBerLab!$E$32)</f>
        <v>0</v>
      </c>
      <c r="C1317" s="311" t="b">
        <v>0</v>
      </c>
    </row>
    <row r="1318" spans="1:3" x14ac:dyDescent="0.2">
      <c r="A1318" s="311" t="s">
        <v>3079</v>
      </c>
      <c r="B1318" t="b">
        <f>IF(ISBLANK(PedBerLab!$E$33),"",PedBerLab!$E$33)</f>
        <v>0</v>
      </c>
      <c r="C1318" s="311" t="b">
        <v>0</v>
      </c>
    </row>
    <row r="1319" spans="1:3" x14ac:dyDescent="0.2">
      <c r="A1319" s="311" t="s">
        <v>3080</v>
      </c>
      <c r="B1319" t="b">
        <f>IF(ISBLANK(PedBerLab!$E$34),"",PedBerLab!$E$34)</f>
        <v>0</v>
      </c>
      <c r="C1319" s="311" t="b">
        <v>0</v>
      </c>
    </row>
    <row r="1320" spans="1:3" x14ac:dyDescent="0.2">
      <c r="A1320" s="311" t="s">
        <v>3081</v>
      </c>
      <c r="B1320" t="b">
        <f>IF(ISBLANK(PedBerLab!$G$4),"",PedBerLab!$G$4)</f>
        <v>0</v>
      </c>
      <c r="C1320" s="311" t="b">
        <v>0</v>
      </c>
    </row>
    <row r="1321" spans="1:3" x14ac:dyDescent="0.2">
      <c r="A1321" s="311" t="s">
        <v>3082</v>
      </c>
      <c r="B1321" t="b">
        <f>IF(ISBLANK(PedBerLab!$G$5),"",PedBerLab!$G$5)</f>
        <v>0</v>
      </c>
      <c r="C1321" s="311" t="b">
        <v>0</v>
      </c>
    </row>
    <row r="1322" spans="1:3" x14ac:dyDescent="0.2">
      <c r="A1322" s="311" t="s">
        <v>3083</v>
      </c>
      <c r="B1322" t="b">
        <f>IF(ISBLANK(PedBerLab!$G$6),"",PedBerLab!$G$6)</f>
        <v>0</v>
      </c>
      <c r="C1322" s="311" t="b">
        <v>0</v>
      </c>
    </row>
    <row r="1323" spans="1:3" x14ac:dyDescent="0.2">
      <c r="A1323" s="311" t="s">
        <v>3084</v>
      </c>
      <c r="B1323" t="b">
        <f>IF(ISBLANK(PedBerLab!$G$7),"",PedBerLab!$G$7)</f>
        <v>0</v>
      </c>
      <c r="C1323" s="311" t="b">
        <v>0</v>
      </c>
    </row>
    <row r="1324" spans="1:3" x14ac:dyDescent="0.2">
      <c r="A1324" s="311" t="s">
        <v>3085</v>
      </c>
      <c r="B1324" t="b">
        <f>IF(ISBLANK(PedBerLab!$G$8),"",PedBerLab!$G$8)</f>
        <v>0</v>
      </c>
      <c r="C1324" s="311" t="b">
        <v>0</v>
      </c>
    </row>
    <row r="1325" spans="1:3" x14ac:dyDescent="0.2">
      <c r="A1325" s="311" t="s">
        <v>3086</v>
      </c>
      <c r="B1325" t="b">
        <f>IF(ISBLANK(PedBerLab!$G$9),"",PedBerLab!$G$9)</f>
        <v>0</v>
      </c>
      <c r="C1325" s="311" t="b">
        <v>0</v>
      </c>
    </row>
    <row r="1326" spans="1:3" x14ac:dyDescent="0.2">
      <c r="A1326" s="311" t="s">
        <v>3087</v>
      </c>
      <c r="B1326" t="b">
        <f>IF(ISBLANK(PedBerLab!$G$10),"",PedBerLab!$G$10)</f>
        <v>0</v>
      </c>
      <c r="C1326" s="311" t="b">
        <v>0</v>
      </c>
    </row>
    <row r="1327" spans="1:3" x14ac:dyDescent="0.2">
      <c r="A1327" s="311" t="s">
        <v>3088</v>
      </c>
      <c r="B1327" t="b">
        <f>IF(ISBLANK(PedBerLab!$G$11),"",PedBerLab!$G$11)</f>
        <v>0</v>
      </c>
      <c r="C1327" s="311" t="b">
        <v>0</v>
      </c>
    </row>
    <row r="1328" spans="1:3" x14ac:dyDescent="0.2">
      <c r="A1328" s="311" t="s">
        <v>3089</v>
      </c>
      <c r="B1328" t="b">
        <f>IF(ISBLANK(PedBerLab!$G$12),"",PedBerLab!$G$12)</f>
        <v>0</v>
      </c>
      <c r="C1328" s="311" t="b">
        <v>0</v>
      </c>
    </row>
    <row r="1329" spans="1:3" x14ac:dyDescent="0.2">
      <c r="A1329" s="311" t="s">
        <v>3090</v>
      </c>
      <c r="B1329" t="b">
        <f>IF(ISBLANK(PedBerLab!$G$13),"",PedBerLab!$G$13)</f>
        <v>0</v>
      </c>
      <c r="C1329" s="311" t="b">
        <v>0</v>
      </c>
    </row>
    <row r="1330" spans="1:3" x14ac:dyDescent="0.2">
      <c r="A1330" s="311" t="s">
        <v>3091</v>
      </c>
      <c r="B1330" t="b">
        <f>IF(ISBLANK(PedBerLab!$G$14),"",PedBerLab!$G$14)</f>
        <v>0</v>
      </c>
      <c r="C1330" s="311" t="b">
        <v>0</v>
      </c>
    </row>
    <row r="1331" spans="1:3" x14ac:dyDescent="0.2">
      <c r="A1331" s="311" t="s">
        <v>3092</v>
      </c>
      <c r="B1331" t="b">
        <f>IF(ISBLANK(PedBerLab!$G$15),"",PedBerLab!$G$15)</f>
        <v>0</v>
      </c>
      <c r="C1331" s="311" t="b">
        <v>0</v>
      </c>
    </row>
    <row r="1332" spans="1:3" x14ac:dyDescent="0.2">
      <c r="A1332" s="311" t="s">
        <v>3093</v>
      </c>
      <c r="B1332" t="b">
        <f>IF(ISBLANK(PedBerLab!$G$16),"",PedBerLab!$G$16)</f>
        <v>0</v>
      </c>
      <c r="C1332" s="311" t="b">
        <v>0</v>
      </c>
    </row>
    <row r="1333" spans="1:3" x14ac:dyDescent="0.2">
      <c r="A1333" s="311" t="s">
        <v>3094</v>
      </c>
      <c r="B1333" t="b">
        <f>IF(ISBLANK(PedBerLab!$G$17),"",PedBerLab!$G$17)</f>
        <v>0</v>
      </c>
      <c r="C1333" s="311" t="b">
        <v>0</v>
      </c>
    </row>
    <row r="1334" spans="1:3" x14ac:dyDescent="0.2">
      <c r="A1334" s="311" t="s">
        <v>3095</v>
      </c>
      <c r="B1334" t="b">
        <f>IF(ISBLANK(PedBerLab!$G$18),"",PedBerLab!$G$18)</f>
        <v>0</v>
      </c>
      <c r="C1334" s="311" t="b">
        <v>0</v>
      </c>
    </row>
    <row r="1335" spans="1:3" x14ac:dyDescent="0.2">
      <c r="A1335" s="311" t="s">
        <v>3096</v>
      </c>
      <c r="B1335" t="b">
        <f>IF(ISBLANK(PedBerLab!$G$19),"",PedBerLab!$G$19)</f>
        <v>0</v>
      </c>
      <c r="C1335" s="311" t="b">
        <v>0</v>
      </c>
    </row>
    <row r="1336" spans="1:3" x14ac:dyDescent="0.2">
      <c r="A1336" s="311" t="s">
        <v>3097</v>
      </c>
      <c r="B1336" t="b">
        <f>IF(ISBLANK(PedBerLab!$G$20),"",PedBerLab!$G$20)</f>
        <v>0</v>
      </c>
      <c r="C1336" s="311" t="b">
        <v>0</v>
      </c>
    </row>
    <row r="1337" spans="1:3" x14ac:dyDescent="0.2">
      <c r="A1337" s="311" t="s">
        <v>3098</v>
      </c>
      <c r="B1337" t="b">
        <f>IF(ISBLANK(PedBerLab!$G$21),"",PedBerLab!$G$21)</f>
        <v>0</v>
      </c>
      <c r="C1337" s="311" t="b">
        <v>0</v>
      </c>
    </row>
    <row r="1338" spans="1:3" x14ac:dyDescent="0.2">
      <c r="A1338" s="311" t="s">
        <v>3099</v>
      </c>
      <c r="B1338" t="b">
        <f>IF(ISBLANK(PedBerLab!$G$22),"",PedBerLab!$G$22)</f>
        <v>0</v>
      </c>
      <c r="C1338" s="311" t="b">
        <v>0</v>
      </c>
    </row>
    <row r="1339" spans="1:3" x14ac:dyDescent="0.2">
      <c r="A1339" s="311" t="s">
        <v>3100</v>
      </c>
      <c r="B1339" t="b">
        <f>IF(ISBLANK(PedBerLab!$G$23),"",PedBerLab!$G$23)</f>
        <v>0</v>
      </c>
      <c r="C1339" s="311" t="b">
        <v>0</v>
      </c>
    </row>
    <row r="1340" spans="1:3" x14ac:dyDescent="0.2">
      <c r="A1340" s="311" t="s">
        <v>3101</v>
      </c>
      <c r="B1340" t="b">
        <f>IF(ISBLANK(PedBerLab!$G$24),"",PedBerLab!$G$24)</f>
        <v>0</v>
      </c>
      <c r="C1340" s="311" t="b">
        <v>0</v>
      </c>
    </row>
    <row r="1341" spans="1:3" x14ac:dyDescent="0.2">
      <c r="A1341" s="311" t="s">
        <v>3102</v>
      </c>
      <c r="B1341" t="b">
        <f>IF(ISBLANK(PedBerLab!$G$25),"",PedBerLab!$G$25)</f>
        <v>0</v>
      </c>
      <c r="C1341" s="311" t="b">
        <v>0</v>
      </c>
    </row>
    <row r="1342" spans="1:3" x14ac:dyDescent="0.2">
      <c r="A1342" s="311" t="s">
        <v>3103</v>
      </c>
      <c r="B1342" t="b">
        <f>IF(ISBLANK(PedBerLab!$G$26),"",PedBerLab!$G$26)</f>
        <v>0</v>
      </c>
      <c r="C1342" s="311" t="b">
        <v>0</v>
      </c>
    </row>
    <row r="1343" spans="1:3" x14ac:dyDescent="0.2">
      <c r="A1343" s="311" t="s">
        <v>3104</v>
      </c>
      <c r="B1343" t="b">
        <f>IF(ISBLANK(PedBerLab!$G$27),"",PedBerLab!$G$27)</f>
        <v>0</v>
      </c>
      <c r="C1343" s="311" t="b">
        <v>0</v>
      </c>
    </row>
    <row r="1344" spans="1:3" x14ac:dyDescent="0.2">
      <c r="A1344" s="311" t="s">
        <v>3105</v>
      </c>
      <c r="B1344" t="b">
        <f>IF(ISBLANK(PedBerLab!$G$28),"",PedBerLab!$G$28)</f>
        <v>0</v>
      </c>
      <c r="C1344" s="311" t="b">
        <v>0</v>
      </c>
    </row>
    <row r="1345" spans="1:3" x14ac:dyDescent="0.2">
      <c r="A1345" s="311" t="s">
        <v>3106</v>
      </c>
      <c r="B1345" t="b">
        <f>IF(ISBLANK(PedBerLab!$G$29),"",PedBerLab!$G$29)</f>
        <v>0</v>
      </c>
      <c r="C1345" s="311" t="b">
        <v>0</v>
      </c>
    </row>
    <row r="1346" spans="1:3" x14ac:dyDescent="0.2">
      <c r="A1346" s="311" t="s">
        <v>3107</v>
      </c>
      <c r="B1346" t="b">
        <f>IF(ISBLANK(PedBerLab!$G$30),"",PedBerLab!$G$30)</f>
        <v>0</v>
      </c>
      <c r="C1346" s="311" t="b">
        <v>0</v>
      </c>
    </row>
    <row r="1347" spans="1:3" x14ac:dyDescent="0.2">
      <c r="A1347" s="311" t="s">
        <v>3108</v>
      </c>
      <c r="B1347" t="b">
        <f>IF(ISBLANK(PedBerLab!$G$31),"",PedBerLab!$G$31)</f>
        <v>0</v>
      </c>
      <c r="C1347" s="311" t="b">
        <v>0</v>
      </c>
    </row>
    <row r="1348" spans="1:3" x14ac:dyDescent="0.2">
      <c r="A1348" s="311" t="s">
        <v>3109</v>
      </c>
      <c r="B1348" t="b">
        <f>IF(ISBLANK(PedBerLab!$G$32),"",PedBerLab!$G$32)</f>
        <v>0</v>
      </c>
      <c r="C1348" s="311" t="b">
        <v>0</v>
      </c>
    </row>
    <row r="1349" spans="1:3" x14ac:dyDescent="0.2">
      <c r="A1349" s="311" t="s">
        <v>3110</v>
      </c>
      <c r="B1349" t="b">
        <f>IF(ISBLANK(PedBerLab!$G$33),"",PedBerLab!$G$33)</f>
        <v>0</v>
      </c>
      <c r="C1349" s="311" t="b">
        <v>0</v>
      </c>
    </row>
    <row r="1350" spans="1:3" x14ac:dyDescent="0.2">
      <c r="A1350" s="311" t="s">
        <v>3111</v>
      </c>
      <c r="B1350" t="b">
        <f>IF(ISBLANK(PedBerLab!$G$34),"",PedBerLab!$G$34)</f>
        <v>0</v>
      </c>
      <c r="C1350" s="311" t="b">
        <v>0</v>
      </c>
    </row>
    <row r="1351" spans="1:3" x14ac:dyDescent="0.2">
      <c r="A1351" s="311" t="s">
        <v>3112</v>
      </c>
      <c r="B1351" t="b">
        <f>IF(ISBLANK(PedBerLab!$G$35),"",PedBerLab!$G$35)</f>
        <v>0</v>
      </c>
      <c r="C1351" s="311" t="b">
        <v>0</v>
      </c>
    </row>
    <row r="1352" spans="1:3" x14ac:dyDescent="0.2">
      <c r="A1352" s="311" t="s">
        <v>3113</v>
      </c>
      <c r="B1352" t="b">
        <f>IF(ISBLANK(PedBerLab!$I$4),"",PedBerLab!$I$4)</f>
        <v>0</v>
      </c>
      <c r="C1352" s="311" t="b">
        <v>0</v>
      </c>
    </row>
    <row r="1353" spans="1:3" x14ac:dyDescent="0.2">
      <c r="A1353" s="311" t="s">
        <v>3114</v>
      </c>
      <c r="B1353" t="b">
        <f>IF(ISBLANK(PedBerLab!$I$5),"",PedBerLab!$I$5)</f>
        <v>0</v>
      </c>
      <c r="C1353" s="311" t="b">
        <v>0</v>
      </c>
    </row>
    <row r="1354" spans="1:3" x14ac:dyDescent="0.2">
      <c r="A1354" s="311" t="s">
        <v>3115</v>
      </c>
      <c r="B1354" t="b">
        <f>IF(ISBLANK(PedBerLab!$I$6),"",PedBerLab!$I$6)</f>
        <v>0</v>
      </c>
      <c r="C1354" s="311" t="b">
        <v>0</v>
      </c>
    </row>
    <row r="1355" spans="1:3" x14ac:dyDescent="0.2">
      <c r="A1355" s="311" t="s">
        <v>3116</v>
      </c>
      <c r="B1355" t="b">
        <f>IF(ISBLANK(PedBerLab!$I$7),"",PedBerLab!$I$7)</f>
        <v>0</v>
      </c>
      <c r="C1355" s="311" t="b">
        <v>0</v>
      </c>
    </row>
    <row r="1356" spans="1:3" x14ac:dyDescent="0.2">
      <c r="A1356" s="311" t="s">
        <v>3117</v>
      </c>
      <c r="B1356" t="b">
        <f>IF(ISBLANK(PedBerLab!$I$8),"",PedBerLab!$I$8)</f>
        <v>0</v>
      </c>
      <c r="C1356" s="311" t="b">
        <v>0</v>
      </c>
    </row>
    <row r="1357" spans="1:3" x14ac:dyDescent="0.2">
      <c r="A1357" s="311" t="s">
        <v>3118</v>
      </c>
      <c r="B1357" t="b">
        <f>IF(ISBLANK(PedBerLab!$I$9),"",PedBerLab!$I$9)</f>
        <v>0</v>
      </c>
      <c r="C1357" s="311" t="b">
        <v>0</v>
      </c>
    </row>
    <row r="1358" spans="1:3" x14ac:dyDescent="0.2">
      <c r="A1358" s="311" t="s">
        <v>3119</v>
      </c>
      <c r="B1358" t="b">
        <f>IF(ISBLANK(PedBerLab!$I$10),"",PedBerLab!$I$10)</f>
        <v>0</v>
      </c>
      <c r="C1358" s="311" t="b">
        <v>0</v>
      </c>
    </row>
    <row r="1359" spans="1:3" x14ac:dyDescent="0.2">
      <c r="A1359" s="311" t="s">
        <v>3120</v>
      </c>
      <c r="B1359" t="b">
        <f>IF(ISBLANK(PedBerLab!$I$11),"",PedBerLab!$I$11)</f>
        <v>0</v>
      </c>
      <c r="C1359" s="311" t="b">
        <v>0</v>
      </c>
    </row>
    <row r="1360" spans="1:3" x14ac:dyDescent="0.2">
      <c r="A1360" s="311" t="s">
        <v>3121</v>
      </c>
      <c r="B1360" t="b">
        <f>IF(ISBLANK(PedBerLab!$I$12),"",PedBerLab!$I$12)</f>
        <v>0</v>
      </c>
      <c r="C1360" s="311" t="b">
        <v>0</v>
      </c>
    </row>
    <row r="1361" spans="1:3" x14ac:dyDescent="0.2">
      <c r="A1361" s="311" t="s">
        <v>3122</v>
      </c>
      <c r="B1361" t="b">
        <f>IF(ISBLANK(PedBerLab!$I$13),"",PedBerLab!$I$13)</f>
        <v>0</v>
      </c>
      <c r="C1361" s="311" t="b">
        <v>0</v>
      </c>
    </row>
    <row r="1362" spans="1:3" x14ac:dyDescent="0.2">
      <c r="A1362" s="311" t="s">
        <v>3123</v>
      </c>
      <c r="B1362" t="b">
        <f>IF(ISBLANK(PedBerLab!$I$14),"",PedBerLab!$I$14)</f>
        <v>0</v>
      </c>
      <c r="C1362" s="311" t="b">
        <v>0</v>
      </c>
    </row>
    <row r="1363" spans="1:3" x14ac:dyDescent="0.2">
      <c r="A1363" s="311" t="s">
        <v>3124</v>
      </c>
      <c r="B1363" t="b">
        <f>IF(ISBLANK(PedBerLab!$I$15),"",PedBerLab!$I$15)</f>
        <v>0</v>
      </c>
      <c r="C1363" s="311" t="b">
        <v>0</v>
      </c>
    </row>
    <row r="1364" spans="1:3" x14ac:dyDescent="0.2">
      <c r="A1364" s="311" t="s">
        <v>3125</v>
      </c>
      <c r="B1364" t="b">
        <f>IF(ISBLANK(PedBerLab!$I$16),"",PedBerLab!$I$16)</f>
        <v>0</v>
      </c>
      <c r="C1364" s="311" t="b">
        <v>0</v>
      </c>
    </row>
    <row r="1365" spans="1:3" x14ac:dyDescent="0.2">
      <c r="A1365" s="311" t="s">
        <v>3126</v>
      </c>
      <c r="B1365" t="b">
        <f>IF(ISBLANK(PedBerLab!$I$17),"",PedBerLab!$I$17)</f>
        <v>0</v>
      </c>
      <c r="C1365" s="311" t="b">
        <v>0</v>
      </c>
    </row>
    <row r="1366" spans="1:3" x14ac:dyDescent="0.2">
      <c r="A1366" s="311" t="s">
        <v>3127</v>
      </c>
      <c r="B1366" t="b">
        <f>IF(ISBLANK(PedBerLab!$I$18),"",PedBerLab!$I$18)</f>
        <v>0</v>
      </c>
      <c r="C1366" s="311" t="b">
        <v>0</v>
      </c>
    </row>
    <row r="1367" spans="1:3" x14ac:dyDescent="0.2">
      <c r="A1367" s="311" t="s">
        <v>3128</v>
      </c>
      <c r="B1367" t="b">
        <f>IF(ISBLANK(PedBerLab!$I$19),"",PedBerLab!$I$19)</f>
        <v>0</v>
      </c>
      <c r="C1367" s="311" t="b">
        <v>0</v>
      </c>
    </row>
    <row r="1368" spans="1:3" x14ac:dyDescent="0.2">
      <c r="A1368" s="311" t="s">
        <v>3129</v>
      </c>
      <c r="B1368" t="b">
        <f>IF(ISBLANK(PedBerLab!$I$20),"",PedBerLab!$I$20)</f>
        <v>0</v>
      </c>
      <c r="C1368" s="311" t="b">
        <v>0</v>
      </c>
    </row>
    <row r="1369" spans="1:3" x14ac:dyDescent="0.2">
      <c r="A1369" s="311" t="s">
        <v>3130</v>
      </c>
      <c r="B1369" t="b">
        <f>IF(ISBLANK(PedBerLab!$I$21),"",PedBerLab!$I$21)</f>
        <v>0</v>
      </c>
      <c r="C1369" s="311" t="b">
        <v>0</v>
      </c>
    </row>
    <row r="1370" spans="1:3" x14ac:dyDescent="0.2">
      <c r="A1370" s="311" t="s">
        <v>3131</v>
      </c>
      <c r="B1370" t="b">
        <f>IF(ISBLANK(PedBerLab!$I$22),"",PedBerLab!$I$22)</f>
        <v>0</v>
      </c>
      <c r="C1370" s="311" t="b">
        <v>0</v>
      </c>
    </row>
    <row r="1371" spans="1:3" x14ac:dyDescent="0.2">
      <c r="A1371" s="311" t="s">
        <v>3132</v>
      </c>
      <c r="B1371" t="b">
        <f>IF(ISBLANK(PedBerLab!$I$23),"",PedBerLab!$I$23)</f>
        <v>0</v>
      </c>
      <c r="C1371" s="311" t="b">
        <v>0</v>
      </c>
    </row>
    <row r="1372" spans="1:3" x14ac:dyDescent="0.2">
      <c r="A1372" s="311" t="s">
        <v>3133</v>
      </c>
      <c r="B1372" t="b">
        <f>IF(ISBLANK(PedBerLab!$I$24),"",PedBerLab!$I$24)</f>
        <v>0</v>
      </c>
      <c r="C1372" s="311" t="b">
        <v>0</v>
      </c>
    </row>
    <row r="1373" spans="1:3" x14ac:dyDescent="0.2">
      <c r="A1373" s="311" t="s">
        <v>3134</v>
      </c>
      <c r="B1373" t="b">
        <f>IF(ISBLANK(PedBerLab!$I$25),"",PedBerLab!$I$25)</f>
        <v>0</v>
      </c>
      <c r="C1373" s="311" t="b">
        <v>0</v>
      </c>
    </row>
    <row r="1374" spans="1:3" x14ac:dyDescent="0.2">
      <c r="A1374" s="311" t="s">
        <v>3135</v>
      </c>
      <c r="B1374" t="b">
        <f>IF(ISBLANK(PedBerLab!$I$26),"",PedBerLab!$I$26)</f>
        <v>0</v>
      </c>
      <c r="C1374" s="311" t="b">
        <v>0</v>
      </c>
    </row>
    <row r="1375" spans="1:3" x14ac:dyDescent="0.2">
      <c r="A1375" s="311" t="s">
        <v>3136</v>
      </c>
      <c r="B1375" t="b">
        <f>IF(ISBLANK(PedBerLab!$I$27),"",PedBerLab!$I$27)</f>
        <v>0</v>
      </c>
      <c r="C1375" s="311" t="b">
        <v>0</v>
      </c>
    </row>
    <row r="1376" spans="1:3" x14ac:dyDescent="0.2">
      <c r="A1376" s="311" t="s">
        <v>3137</v>
      </c>
      <c r="B1376" t="b">
        <f>IF(ISBLANK(PedBerLab!$I$28),"",PedBerLab!$I$28)</f>
        <v>0</v>
      </c>
      <c r="C1376" s="311" t="b">
        <v>0</v>
      </c>
    </row>
    <row r="1377" spans="1:3" x14ac:dyDescent="0.2">
      <c r="A1377" s="311" t="s">
        <v>3138</v>
      </c>
      <c r="B1377" t="b">
        <f>IF(ISBLANK(PedBerLab!$I$29),"",PedBerLab!$I$29)</f>
        <v>0</v>
      </c>
      <c r="C1377" s="311" t="b">
        <v>0</v>
      </c>
    </row>
    <row r="1378" spans="1:3" x14ac:dyDescent="0.2">
      <c r="A1378" s="311" t="s">
        <v>3139</v>
      </c>
      <c r="B1378" t="b">
        <f>IF(ISBLANK(PedBerLab!$I$30),"",PedBerLab!$I$30)</f>
        <v>0</v>
      </c>
      <c r="C1378" s="311" t="b">
        <v>0</v>
      </c>
    </row>
    <row r="1379" spans="1:3" x14ac:dyDescent="0.2">
      <c r="A1379" s="311" t="s">
        <v>3140</v>
      </c>
      <c r="B1379" t="b">
        <f>IF(ISBLANK(PedBerLab!$I$31),"",PedBerLab!$I$31)</f>
        <v>0</v>
      </c>
      <c r="C1379" s="311" t="b">
        <v>0</v>
      </c>
    </row>
    <row r="1380" spans="1:3" x14ac:dyDescent="0.2">
      <c r="A1380" s="311" t="s">
        <v>3141</v>
      </c>
      <c r="B1380" t="b">
        <f>IF(ISBLANK(PedBerLab!$I$32),"",PedBerLab!$I$32)</f>
        <v>0</v>
      </c>
      <c r="C1380" s="311" t="b">
        <v>0</v>
      </c>
    </row>
    <row r="1381" spans="1:3" x14ac:dyDescent="0.2">
      <c r="A1381" s="311" t="s">
        <v>3142</v>
      </c>
      <c r="B1381" t="b">
        <f>IF(ISBLANK(PedBerLab!$I$33),"",PedBerLab!$I$33)</f>
        <v>0</v>
      </c>
      <c r="C1381" s="311" t="b">
        <v>0</v>
      </c>
    </row>
    <row r="1382" spans="1:3" x14ac:dyDescent="0.2">
      <c r="A1382" s="311" t="s">
        <v>3143</v>
      </c>
      <c r="B1382" t="b">
        <f>IF(ISBLANK(PedBerLab!$I$34),"",PedBerLab!$I$34)</f>
        <v>0</v>
      </c>
      <c r="C1382" s="311" t="b">
        <v>0</v>
      </c>
    </row>
    <row r="1383" spans="1:3" x14ac:dyDescent="0.2">
      <c r="A1383" s="311" t="s">
        <v>3144</v>
      </c>
      <c r="B1383" t="b">
        <f>IF(ISBLANK(PedBerLab!$L$4),"",PedBerLab!$L$4)</f>
        <v>0</v>
      </c>
      <c r="C1383" s="311" t="b">
        <v>0</v>
      </c>
    </row>
    <row r="1384" spans="1:3" x14ac:dyDescent="0.2">
      <c r="A1384" s="311" t="s">
        <v>3145</v>
      </c>
      <c r="B1384" t="b">
        <f>IF(ISBLANK(PedBerLab!$L$5),"",PedBerLab!$L$5)</f>
        <v>0</v>
      </c>
      <c r="C1384" s="311" t="b">
        <v>0</v>
      </c>
    </row>
    <row r="1385" spans="1:3" x14ac:dyDescent="0.2">
      <c r="A1385" s="311" t="s">
        <v>3146</v>
      </c>
      <c r="B1385" t="b">
        <f>IF(ISBLANK(PedBerLab!$L$6),"",PedBerLab!$L$6)</f>
        <v>0</v>
      </c>
      <c r="C1385" s="311" t="b">
        <v>0</v>
      </c>
    </row>
    <row r="1386" spans="1:3" x14ac:dyDescent="0.2">
      <c r="A1386" s="311" t="s">
        <v>3147</v>
      </c>
      <c r="B1386" t="b">
        <f>IF(ISBLANK(PedBerLab!$L$7),"",PedBerLab!$L$7)</f>
        <v>0</v>
      </c>
      <c r="C1386" s="311" t="b">
        <v>0</v>
      </c>
    </row>
    <row r="1387" spans="1:3" x14ac:dyDescent="0.2">
      <c r="A1387" s="311" t="s">
        <v>3148</v>
      </c>
      <c r="B1387" t="b">
        <f>IF(ISBLANK(PedBerLab!$L$8),"",PedBerLab!$L$8)</f>
        <v>0</v>
      </c>
      <c r="C1387" s="311" t="b">
        <v>0</v>
      </c>
    </row>
    <row r="1388" spans="1:3" x14ac:dyDescent="0.2">
      <c r="A1388" s="311" t="s">
        <v>3149</v>
      </c>
      <c r="B1388" t="b">
        <f>IF(ISBLANK(PedBerLab!$L$9),"",PedBerLab!$L$9)</f>
        <v>0</v>
      </c>
      <c r="C1388" s="311" t="b">
        <v>0</v>
      </c>
    </row>
    <row r="1389" spans="1:3" x14ac:dyDescent="0.2">
      <c r="A1389" s="311" t="s">
        <v>3150</v>
      </c>
      <c r="B1389" t="b">
        <f>IF(ISBLANK(PedBerLab!$L$10),"",PedBerLab!$L$10)</f>
        <v>0</v>
      </c>
      <c r="C1389" s="311" t="b">
        <v>0</v>
      </c>
    </row>
    <row r="1390" spans="1:3" x14ac:dyDescent="0.2">
      <c r="A1390" s="311" t="s">
        <v>3151</v>
      </c>
      <c r="B1390" t="b">
        <f>IF(ISBLANK(PedBerLab!$L$11),"",PedBerLab!$L$11)</f>
        <v>0</v>
      </c>
      <c r="C1390" s="311" t="b">
        <v>0</v>
      </c>
    </row>
    <row r="1391" spans="1:3" x14ac:dyDescent="0.2">
      <c r="A1391" s="311" t="s">
        <v>3152</v>
      </c>
      <c r="B1391" t="b">
        <f>IF(ISBLANK(PedBerLab!$L$12),"",PedBerLab!$L$12)</f>
        <v>0</v>
      </c>
      <c r="C1391" s="311" t="b">
        <v>0</v>
      </c>
    </row>
    <row r="1392" spans="1:3" x14ac:dyDescent="0.2">
      <c r="A1392" s="311" t="s">
        <v>3153</v>
      </c>
      <c r="B1392" t="b">
        <f>IF(ISBLANK(PedBerLab!$L$13),"",PedBerLab!$L$13)</f>
        <v>0</v>
      </c>
      <c r="C1392" s="311" t="b">
        <v>0</v>
      </c>
    </row>
    <row r="1393" spans="1:3" x14ac:dyDescent="0.2">
      <c r="A1393" s="311" t="s">
        <v>3154</v>
      </c>
      <c r="B1393" t="b">
        <f>IF(ISBLANK(PedBerLab!$L$14),"",PedBerLab!$L$14)</f>
        <v>0</v>
      </c>
      <c r="C1393" s="311" t="b">
        <v>0</v>
      </c>
    </row>
    <row r="1394" spans="1:3" x14ac:dyDescent="0.2">
      <c r="A1394" s="311" t="s">
        <v>3155</v>
      </c>
      <c r="B1394" t="b">
        <f>IF(ISBLANK(PedBerLab!$L$15),"",PedBerLab!$L$15)</f>
        <v>0</v>
      </c>
      <c r="C1394" s="311" t="b">
        <v>0</v>
      </c>
    </row>
    <row r="1395" spans="1:3" x14ac:dyDescent="0.2">
      <c r="A1395" s="311" t="s">
        <v>3156</v>
      </c>
      <c r="B1395" t="b">
        <f>IF(ISBLANK(PedBerLab!$L$16),"",PedBerLab!$L$16)</f>
        <v>0</v>
      </c>
      <c r="C1395" s="311" t="b">
        <v>0</v>
      </c>
    </row>
    <row r="1396" spans="1:3" x14ac:dyDescent="0.2">
      <c r="A1396" s="311" t="s">
        <v>3157</v>
      </c>
      <c r="B1396" t="b">
        <f>IF(ISBLANK(PedBerLab!$L$17),"",PedBerLab!$L$17)</f>
        <v>0</v>
      </c>
      <c r="C1396" s="311" t="b">
        <v>0</v>
      </c>
    </row>
    <row r="1397" spans="1:3" x14ac:dyDescent="0.2">
      <c r="A1397" s="311" t="s">
        <v>3158</v>
      </c>
      <c r="B1397" t="b">
        <f>IF(ISBLANK(PedBerLab!$L$18),"",PedBerLab!$L$18)</f>
        <v>0</v>
      </c>
      <c r="C1397" s="311" t="b">
        <v>0</v>
      </c>
    </row>
    <row r="1398" spans="1:3" x14ac:dyDescent="0.2">
      <c r="A1398" s="311" t="s">
        <v>3159</v>
      </c>
      <c r="B1398" t="b">
        <f>IF(ISBLANK(PedBerLab!$L$19),"",PedBerLab!$L$19)</f>
        <v>0</v>
      </c>
      <c r="C1398" s="311" t="b">
        <v>0</v>
      </c>
    </row>
    <row r="1399" spans="1:3" x14ac:dyDescent="0.2">
      <c r="A1399" s="311" t="s">
        <v>3160</v>
      </c>
      <c r="B1399" t="b">
        <f>IF(ISBLANK(PedBerLab!$L$20),"",PedBerLab!$L$20)</f>
        <v>0</v>
      </c>
      <c r="C1399" s="311" t="b">
        <v>0</v>
      </c>
    </row>
    <row r="1400" spans="1:3" x14ac:dyDescent="0.2">
      <c r="A1400" s="311" t="s">
        <v>3161</v>
      </c>
      <c r="B1400" t="b">
        <f>IF(ISBLANK(PedBerLab!$L$21),"",PedBerLab!$L$21)</f>
        <v>0</v>
      </c>
      <c r="C1400" s="311" t="b">
        <v>0</v>
      </c>
    </row>
    <row r="1401" spans="1:3" x14ac:dyDescent="0.2">
      <c r="A1401" s="311" t="s">
        <v>3162</v>
      </c>
      <c r="B1401" t="b">
        <f>IF(ISBLANK(PedBerLab!$L$22),"",PedBerLab!$L$22)</f>
        <v>0</v>
      </c>
      <c r="C1401" s="311" t="b">
        <v>0</v>
      </c>
    </row>
    <row r="1402" spans="1:3" x14ac:dyDescent="0.2">
      <c r="A1402" s="311" t="s">
        <v>3163</v>
      </c>
      <c r="B1402" t="b">
        <f>IF(ISBLANK(PedBerLab!$L$23),"",PedBerLab!$L$23)</f>
        <v>0</v>
      </c>
      <c r="C1402" s="311" t="b">
        <v>0</v>
      </c>
    </row>
    <row r="1403" spans="1:3" x14ac:dyDescent="0.2">
      <c r="A1403" s="311" t="s">
        <v>3164</v>
      </c>
      <c r="B1403" t="b">
        <f>IF(ISBLANK(PedBerLab!$L$24),"",PedBerLab!$L$24)</f>
        <v>0</v>
      </c>
      <c r="C1403" s="311" t="b">
        <v>0</v>
      </c>
    </row>
    <row r="1404" spans="1:3" x14ac:dyDescent="0.2">
      <c r="A1404" s="311" t="s">
        <v>3165</v>
      </c>
      <c r="B1404" t="b">
        <f>IF(ISBLANK(PedBerLab!$L$25),"",PedBerLab!$L$25)</f>
        <v>0</v>
      </c>
      <c r="C1404" s="311" t="b">
        <v>0</v>
      </c>
    </row>
    <row r="1405" spans="1:3" x14ac:dyDescent="0.2">
      <c r="A1405" s="311" t="s">
        <v>3166</v>
      </c>
      <c r="B1405" t="b">
        <f>IF(ISBLANK(PedBerLab!$L$26),"",PedBerLab!$L$26)</f>
        <v>0</v>
      </c>
      <c r="C1405" s="311" t="b">
        <v>0</v>
      </c>
    </row>
    <row r="1406" spans="1:3" x14ac:dyDescent="0.2">
      <c r="A1406" s="311" t="s">
        <v>3167</v>
      </c>
      <c r="B1406" t="b">
        <f>IF(ISBLANK(PedBerLab!$L$27),"",PedBerLab!$L$27)</f>
        <v>0</v>
      </c>
      <c r="C1406" s="311" t="b">
        <v>0</v>
      </c>
    </row>
    <row r="1407" spans="1:3" x14ac:dyDescent="0.2">
      <c r="A1407" s="311" t="s">
        <v>3168</v>
      </c>
      <c r="B1407" t="b">
        <f>IF(ISBLANK(PedBerLab!$L$28),"",PedBerLab!$L$28)</f>
        <v>0</v>
      </c>
      <c r="C1407" s="311" t="b">
        <v>0</v>
      </c>
    </row>
    <row r="1408" spans="1:3" x14ac:dyDescent="0.2">
      <c r="A1408" s="311" t="s">
        <v>3169</v>
      </c>
      <c r="B1408" t="b">
        <f>IF(ISBLANK(PedBerLab!$L$29),"",PedBerLab!$L$29)</f>
        <v>0</v>
      </c>
      <c r="C1408" s="311" t="b">
        <v>0</v>
      </c>
    </row>
    <row r="1409" spans="1:3" x14ac:dyDescent="0.2">
      <c r="A1409" s="311" t="s">
        <v>3170</v>
      </c>
      <c r="B1409" t="b">
        <f>IF(ISBLANK(PedBerLab!$L$30),"",PedBerLab!$L$30)</f>
        <v>0</v>
      </c>
      <c r="C1409" s="311" t="b">
        <v>0</v>
      </c>
    </row>
    <row r="1410" spans="1:3" x14ac:dyDescent="0.2">
      <c r="A1410" s="311" t="s">
        <v>3171</v>
      </c>
      <c r="B1410" t="b">
        <f>IF(ISBLANK(PedBerLab!$L$31),"",PedBerLab!$L$31)</f>
        <v>0</v>
      </c>
      <c r="C1410" s="311" t="b">
        <v>0</v>
      </c>
    </row>
    <row r="1411" spans="1:3" x14ac:dyDescent="0.2">
      <c r="A1411" s="311" t="s">
        <v>3172</v>
      </c>
      <c r="B1411" t="b">
        <f>IF(ISBLANK(PedBerLab!$L$32),"",PedBerLab!$L$32)</f>
        <v>0</v>
      </c>
      <c r="C1411" s="311" t="b">
        <v>0</v>
      </c>
    </row>
    <row r="1412" spans="1:3" x14ac:dyDescent="0.2">
      <c r="A1412" s="311" t="s">
        <v>3173</v>
      </c>
      <c r="B1412" t="b">
        <f>IF(ISBLANK(PedBerLab!$L$33),"",PedBerLab!$L$33)</f>
        <v>0</v>
      </c>
      <c r="C1412" s="311" t="b">
        <v>0</v>
      </c>
    </row>
    <row r="1413" spans="1:3" x14ac:dyDescent="0.2">
      <c r="A1413" s="311" t="s">
        <v>3174</v>
      </c>
      <c r="B1413" t="b">
        <f>IF(ISBLANK(PedBerLab!$L$34),"",PedBerLab!$L$34)</f>
        <v>0</v>
      </c>
      <c r="C1413" s="311" t="b">
        <v>0</v>
      </c>
    </row>
    <row r="1414" spans="1:3" x14ac:dyDescent="0.2">
      <c r="A1414" s="311" t="s">
        <v>3175</v>
      </c>
      <c r="B1414" t="str">
        <f>IF(ISBLANK(GlobBerOpm!$B$4),"",GlobBerOpm!$B$4)</f>
        <v/>
      </c>
      <c r="C1414" s="130"/>
    </row>
    <row r="1415" spans="1:3" x14ac:dyDescent="0.2">
      <c r="A1415" s="311" t="s">
        <v>3176</v>
      </c>
      <c r="B1415" t="b">
        <f>IF(ISBLANK(PedBerLab!$C$4),"",PedBerLab!$C$4)</f>
        <v>0</v>
      </c>
      <c r="C1415" t="b">
        <v>0</v>
      </c>
    </row>
    <row r="1416" spans="1:3" x14ac:dyDescent="0.2">
      <c r="A1416" s="311" t="s">
        <v>3177</v>
      </c>
      <c r="B1416" t="b">
        <f>IF(ISBLANK(PedBerLab!$C$5),"",PedBerLab!$C$5)</f>
        <v>0</v>
      </c>
      <c r="C1416" s="311" t="b">
        <v>0</v>
      </c>
    </row>
    <row r="1417" spans="1:3" x14ac:dyDescent="0.2">
      <c r="A1417" s="311" t="s">
        <v>3178</v>
      </c>
      <c r="B1417" t="b">
        <f>IF(ISBLANK(PedBerLab!$C$6),"",PedBerLab!$C$6)</f>
        <v>0</v>
      </c>
      <c r="C1417" s="311" t="b">
        <v>0</v>
      </c>
    </row>
    <row r="1418" spans="1:3" x14ac:dyDescent="0.2">
      <c r="A1418" s="311" t="s">
        <v>3179</v>
      </c>
      <c r="B1418" t="b">
        <f>IF(ISBLANK(PedBerLab!$C$7),"",PedBerLab!$C$7)</f>
        <v>0</v>
      </c>
      <c r="C1418" s="311" t="b">
        <v>0</v>
      </c>
    </row>
    <row r="1419" spans="1:3" x14ac:dyDescent="0.2">
      <c r="A1419" s="311" t="s">
        <v>3180</v>
      </c>
      <c r="B1419" t="b">
        <f>IF(ISBLANK(PedBerLab!$C$8),"",PedBerLab!$C$8)</f>
        <v>0</v>
      </c>
      <c r="C1419" s="311" t="b">
        <v>0</v>
      </c>
    </row>
    <row r="1420" spans="1:3" x14ac:dyDescent="0.2">
      <c r="A1420" s="311" t="s">
        <v>3181</v>
      </c>
      <c r="B1420" t="b">
        <f>IF(ISBLANK(PedBerLab!$C$9),"",PedBerLab!$C$9)</f>
        <v>0</v>
      </c>
      <c r="C1420" s="311" t="b">
        <v>0</v>
      </c>
    </row>
    <row r="1421" spans="1:3" x14ac:dyDescent="0.2">
      <c r="A1421" s="311" t="s">
        <v>3182</v>
      </c>
      <c r="B1421" t="b">
        <f>IF(ISBLANK(PedBerLab!$C$10),"",PedBerLab!$C$10)</f>
        <v>0</v>
      </c>
      <c r="C1421" s="311" t="b">
        <v>0</v>
      </c>
    </row>
    <row r="1422" spans="1:3" x14ac:dyDescent="0.2">
      <c r="A1422" s="311" t="s">
        <v>3183</v>
      </c>
      <c r="B1422" t="b">
        <f>IF(ISBLANK(PedBerLab!$C$11),"",PedBerLab!$C$11)</f>
        <v>0</v>
      </c>
      <c r="C1422" s="311" t="b">
        <v>0</v>
      </c>
    </row>
    <row r="1423" spans="1:3" x14ac:dyDescent="0.2">
      <c r="A1423" s="311" t="s">
        <v>3184</v>
      </c>
      <c r="B1423" t="b">
        <f>IF(ISBLANK(PedBerLab!$C$12),"",PedBerLab!$C$12)</f>
        <v>0</v>
      </c>
      <c r="C1423" s="311" t="b">
        <v>0</v>
      </c>
    </row>
    <row r="1424" spans="1:3" x14ac:dyDescent="0.2">
      <c r="A1424" s="311" t="s">
        <v>3185</v>
      </c>
      <c r="B1424" t="b">
        <f>IF(ISBLANK(PedBerLab!$C$13),"",PedBerLab!$C$13)</f>
        <v>0</v>
      </c>
      <c r="C1424" s="311" t="b">
        <v>0</v>
      </c>
    </row>
    <row r="1425" spans="1:3" x14ac:dyDescent="0.2">
      <c r="A1425" s="311" t="s">
        <v>3186</v>
      </c>
      <c r="B1425" t="b">
        <f>IF(ISBLANK(PedBerLab!$C$14),"",PedBerLab!$C$14)</f>
        <v>0</v>
      </c>
      <c r="C1425" s="311" t="b">
        <v>0</v>
      </c>
    </row>
    <row r="1426" spans="1:3" x14ac:dyDescent="0.2">
      <c r="A1426" s="311" t="s">
        <v>3187</v>
      </c>
      <c r="B1426" t="b">
        <f>IF(ISBLANK(PedBerLab!$C$15),"",PedBerLab!$C$15)</f>
        <v>0</v>
      </c>
      <c r="C1426" s="311" t="b">
        <v>0</v>
      </c>
    </row>
    <row r="1427" spans="1:3" x14ac:dyDescent="0.2">
      <c r="A1427" s="311" t="s">
        <v>3188</v>
      </c>
      <c r="B1427" t="b">
        <f>IF(ISBLANK(PedBerLab!$C$16),"",PedBerLab!$C$16)</f>
        <v>0</v>
      </c>
      <c r="C1427" s="311" t="b">
        <v>0</v>
      </c>
    </row>
    <row r="1428" spans="1:3" x14ac:dyDescent="0.2">
      <c r="A1428" s="311" t="s">
        <v>3189</v>
      </c>
      <c r="B1428" t="b">
        <f>IF(ISBLANK(PedBerLab!$C$17),"",PedBerLab!$C$17)</f>
        <v>0</v>
      </c>
      <c r="C1428" s="311" t="b">
        <v>0</v>
      </c>
    </row>
    <row r="1429" spans="1:3" x14ac:dyDescent="0.2">
      <c r="A1429" s="311" t="s">
        <v>3190</v>
      </c>
      <c r="B1429" t="b">
        <f>IF(ISBLANK(PedBerLab!$C$18),"",PedBerLab!$C$18)</f>
        <v>0</v>
      </c>
      <c r="C1429" s="311" t="b">
        <v>0</v>
      </c>
    </row>
    <row r="1430" spans="1:3" x14ac:dyDescent="0.2">
      <c r="A1430" s="311" t="s">
        <v>3191</v>
      </c>
      <c r="B1430" t="b">
        <f>IF(ISBLANK(PedBerLab!$C$19),"",PedBerLab!$C$19)</f>
        <v>0</v>
      </c>
      <c r="C1430" s="311" t="b">
        <v>0</v>
      </c>
    </row>
    <row r="1431" spans="1:3" x14ac:dyDescent="0.2">
      <c r="A1431" s="311" t="s">
        <v>3192</v>
      </c>
      <c r="B1431" t="b">
        <f>IF(ISBLANK(PedBerLab!$C$20),"",PedBerLab!$C$20)</f>
        <v>0</v>
      </c>
      <c r="C1431" s="311" t="b">
        <v>0</v>
      </c>
    </row>
    <row r="1432" spans="1:3" x14ac:dyDescent="0.2">
      <c r="A1432" s="311" t="s">
        <v>3193</v>
      </c>
      <c r="B1432" t="b">
        <f>IF(ISBLANK(PedBerLab!$C$21),"",PedBerLab!$C$21)</f>
        <v>0</v>
      </c>
      <c r="C1432" s="311" t="b">
        <v>0</v>
      </c>
    </row>
    <row r="1433" spans="1:3" x14ac:dyDescent="0.2">
      <c r="A1433" s="311" t="s">
        <v>3194</v>
      </c>
      <c r="B1433" t="b">
        <f>IF(ISBLANK(PedBerLab!$C$22),"",PedBerLab!$C$22)</f>
        <v>0</v>
      </c>
      <c r="C1433" s="311" t="b">
        <v>0</v>
      </c>
    </row>
    <row r="1434" spans="1:3" x14ac:dyDescent="0.2">
      <c r="A1434" s="311" t="s">
        <v>3195</v>
      </c>
      <c r="B1434" t="b">
        <f>IF(ISBLANK(PedBerLab!$C$23),"",PedBerLab!$C$23)</f>
        <v>0</v>
      </c>
      <c r="C1434" s="311" t="b">
        <v>0</v>
      </c>
    </row>
    <row r="1435" spans="1:3" x14ac:dyDescent="0.2">
      <c r="A1435" s="311" t="s">
        <v>3196</v>
      </c>
      <c r="B1435" t="b">
        <f>IF(ISBLANK(PedBerLab!$C$24),"",PedBerLab!$C$24)</f>
        <v>0</v>
      </c>
      <c r="C1435" s="311" t="b">
        <v>0</v>
      </c>
    </row>
    <row r="1436" spans="1:3" x14ac:dyDescent="0.2">
      <c r="A1436" s="311" t="s">
        <v>3197</v>
      </c>
      <c r="B1436" t="b">
        <f>IF(ISBLANK(PedBerLab!$C$25),"",PedBerLab!$C$25)</f>
        <v>0</v>
      </c>
      <c r="C1436" s="311" t="b">
        <v>0</v>
      </c>
    </row>
    <row r="1437" spans="1:3" x14ac:dyDescent="0.2">
      <c r="A1437" s="311" t="s">
        <v>3198</v>
      </c>
      <c r="B1437" t="b">
        <f>IF(ISBLANK(PedBerLab!$C$26),"",PedBerLab!$C$26)</f>
        <v>0</v>
      </c>
      <c r="C1437" s="311" t="b">
        <v>0</v>
      </c>
    </row>
    <row r="1438" spans="1:3" x14ac:dyDescent="0.2">
      <c r="A1438" s="311" t="s">
        <v>3199</v>
      </c>
      <c r="B1438" t="b">
        <f>IF(ISBLANK(PedBerLab!$C$27),"",PedBerLab!$C$27)</f>
        <v>0</v>
      </c>
      <c r="C1438" s="311" t="b">
        <v>0</v>
      </c>
    </row>
    <row r="1439" spans="1:3" x14ac:dyDescent="0.2">
      <c r="A1439" s="311" t="s">
        <v>3200</v>
      </c>
      <c r="B1439" t="b">
        <f>IF(ISBLANK(PedBerLab!$C$28),"",PedBerLab!$C$28)</f>
        <v>0</v>
      </c>
      <c r="C1439" s="311" t="b">
        <v>0</v>
      </c>
    </row>
    <row r="1440" spans="1:3" x14ac:dyDescent="0.2">
      <c r="A1440" s="311" t="s">
        <v>3201</v>
      </c>
      <c r="B1440" t="b">
        <f>IF(ISBLANK(PedBerLab!$C$29),"",PedBerLab!$C$29)</f>
        <v>0</v>
      </c>
      <c r="C1440" s="311" t="b">
        <v>0</v>
      </c>
    </row>
    <row r="1441" spans="1:3" x14ac:dyDescent="0.2">
      <c r="A1441" s="311" t="s">
        <v>3202</v>
      </c>
      <c r="B1441" t="b">
        <f>IF(ISBLANK(PedBerLab!$C$30),"",PedBerLab!$C$30)</f>
        <v>0</v>
      </c>
      <c r="C1441" s="311" t="b">
        <v>0</v>
      </c>
    </row>
    <row r="1442" spans="1:3" x14ac:dyDescent="0.2">
      <c r="A1442" s="311" t="s">
        <v>3203</v>
      </c>
      <c r="B1442" t="b">
        <f>IF(ISBLANK(PedBerLab!$C$31),"",PedBerLab!$C$31)</f>
        <v>0</v>
      </c>
      <c r="C1442" s="311" t="b">
        <v>0</v>
      </c>
    </row>
    <row r="1443" spans="1:3" x14ac:dyDescent="0.2">
      <c r="A1443" s="311" t="s">
        <v>3204</v>
      </c>
      <c r="B1443" t="b">
        <f>IF(ISBLANK(PedBerLab!$C$32),"",PedBerLab!$C$32)</f>
        <v>0</v>
      </c>
      <c r="C1443" s="311" t="b">
        <v>0</v>
      </c>
    </row>
    <row r="1444" spans="1:3" x14ac:dyDescent="0.2">
      <c r="A1444" s="311" t="s">
        <v>3205</v>
      </c>
      <c r="B1444" t="b">
        <f>IF(ISBLANK(PedBerLab!$C$33),"",PedBerLab!$C$33)</f>
        <v>0</v>
      </c>
      <c r="C1444" s="311" t="b">
        <v>0</v>
      </c>
    </row>
    <row r="1445" spans="1:3" x14ac:dyDescent="0.2">
      <c r="A1445" s="311" t="s">
        <v>3206</v>
      </c>
      <c r="B1445" t="b">
        <f>IF(ISBLANK(PedBerLab!$C$34),"",PedBerLab!$C$34)</f>
        <v>0</v>
      </c>
      <c r="C1445" s="311" t="b">
        <v>0</v>
      </c>
    </row>
    <row r="1446" spans="1:3" x14ac:dyDescent="0.2">
      <c r="A1446" s="311" t="s">
        <v>3207</v>
      </c>
      <c r="B1446" t="b">
        <f>IF(ISBLANK(PedBerLab!$C$35),"",PedBerLab!$C$35)</f>
        <v>0</v>
      </c>
      <c r="C1446" s="311" t="b">
        <v>0</v>
      </c>
    </row>
    <row r="1447" spans="1:3" x14ac:dyDescent="0.2">
      <c r="A1447" s="311" t="s">
        <v>3208</v>
      </c>
      <c r="B1447">
        <f>IF(ISBLANK(PedBerMedIV!$C$5),"",PedBerMedIV!$C$5)</f>
        <v>1</v>
      </c>
      <c r="C1447">
        <v>1</v>
      </c>
    </row>
    <row r="1448" spans="1:3" x14ac:dyDescent="0.2">
      <c r="A1448" s="311" t="s">
        <v>3209</v>
      </c>
      <c r="B1448">
        <f>IF(ISBLANK(PedBerMedIV!$C$6),"",PedBerMedIV!$C$6)</f>
        <v>1</v>
      </c>
      <c r="C1448">
        <v>1</v>
      </c>
    </row>
    <row r="1449" spans="1:3" x14ac:dyDescent="0.2">
      <c r="A1449" s="311" t="s">
        <v>3210</v>
      </c>
      <c r="B1449">
        <f>IF(ISBLANK(PedBerMedIV!$C$7),"",PedBerMedIV!$C$7)</f>
        <v>1</v>
      </c>
      <c r="C1449">
        <v>1</v>
      </c>
    </row>
    <row r="1450" spans="1:3" x14ac:dyDescent="0.2">
      <c r="A1450" s="311" t="s">
        <v>3211</v>
      </c>
      <c r="B1450">
        <f>IF(ISBLANK(PedBerMedIV!$C$8),"",PedBerMedIV!$C$8)</f>
        <v>1</v>
      </c>
      <c r="C1450">
        <v>1</v>
      </c>
    </row>
    <row r="1451" spans="1:3" x14ac:dyDescent="0.2">
      <c r="A1451" s="311" t="s">
        <v>3212</v>
      </c>
      <c r="B1451">
        <f>IF(ISBLANK(PedBerMedIV!$C$9),"",PedBerMedIV!$C$9)</f>
        <v>1</v>
      </c>
      <c r="C1451">
        <v>1</v>
      </c>
    </row>
    <row r="1452" spans="1:3" x14ac:dyDescent="0.2">
      <c r="A1452" s="311" t="s">
        <v>3213</v>
      </c>
      <c r="B1452">
        <f>IF(ISBLANK(PedBerMedIV!$C$10),"",PedBerMedIV!$C$10)</f>
        <v>1</v>
      </c>
      <c r="C1452">
        <v>1</v>
      </c>
    </row>
    <row r="1453" spans="1:3" x14ac:dyDescent="0.2">
      <c r="A1453" s="311" t="s">
        <v>3214</v>
      </c>
      <c r="B1453">
        <f>IF(ISBLANK(PedBerMedIV!$C$11),"",PedBerMedIV!$C$11)</f>
        <v>1</v>
      </c>
      <c r="C1453">
        <v>1</v>
      </c>
    </row>
    <row r="1454" spans="1:3" x14ac:dyDescent="0.2">
      <c r="A1454" s="311" t="s">
        <v>3215</v>
      </c>
      <c r="B1454">
        <f>IF(ISBLANK(PedBerMedIV!$C$12),"",PedBerMedIV!$C$12)</f>
        <v>1</v>
      </c>
      <c r="C1454">
        <v>1</v>
      </c>
    </row>
    <row r="1455" spans="1:3" x14ac:dyDescent="0.2">
      <c r="A1455" s="311" t="s">
        <v>3216</v>
      </c>
      <c r="B1455">
        <f>IF(ISBLANK(PedBerMedIV!$C$13),"",PedBerMedIV!$C$13)</f>
        <v>1</v>
      </c>
      <c r="C1455">
        <v>1</v>
      </c>
    </row>
    <row r="1456" spans="1:3" x14ac:dyDescent="0.2">
      <c r="A1456" s="311" t="s">
        <v>3217</v>
      </c>
      <c r="B1456">
        <f>IF(ISBLANK(PedBerMedIV!$C$14),"",PedBerMedIV!$C$14)</f>
        <v>1</v>
      </c>
      <c r="C1456">
        <v>1</v>
      </c>
    </row>
    <row r="1457" spans="1:3" x14ac:dyDescent="0.2">
      <c r="A1457" s="311" t="s">
        <v>3218</v>
      </c>
      <c r="B1457">
        <f>IF(ISBLANK(PedBerMedIV!$C$15),"",PedBerMedIV!$C$15)</f>
        <v>1</v>
      </c>
      <c r="C1457" s="311">
        <v>1</v>
      </c>
    </row>
    <row r="1458" spans="1:3" x14ac:dyDescent="0.2">
      <c r="A1458" s="311" t="s">
        <v>3219</v>
      </c>
      <c r="B1458">
        <f>IF(ISBLANK(PedBerMedIV!$C$16),"",PedBerMedIV!$C$16)</f>
        <v>1</v>
      </c>
      <c r="C1458" s="311">
        <v>1</v>
      </c>
    </row>
    <row r="1459" spans="1:3" x14ac:dyDescent="0.2">
      <c r="A1459" s="311" t="s">
        <v>3220</v>
      </c>
      <c r="B1459">
        <f>IF(ISBLANK(PedBerMedIV!$C$17),"",PedBerMedIV!$C$17)</f>
        <v>1</v>
      </c>
      <c r="C1459" s="311">
        <v>1</v>
      </c>
    </row>
    <row r="1460" spans="1:3" x14ac:dyDescent="0.2">
      <c r="A1460" s="311" t="s">
        <v>3221</v>
      </c>
      <c r="B1460">
        <f>IF(ISBLANK(PedBerMedIV!$C$18),"",PedBerMedIV!$C$18)</f>
        <v>1</v>
      </c>
      <c r="C1460" s="311">
        <v>1</v>
      </c>
    </row>
    <row r="1461" spans="1:3" x14ac:dyDescent="0.2">
      <c r="A1461" s="311" t="s">
        <v>3222</v>
      </c>
      <c r="B1461">
        <f>IF(ISBLANK(PedBerMedIV!$C$19),"",PedBerMedIV!$C$19)</f>
        <v>1</v>
      </c>
      <c r="C1461" s="311">
        <v>1</v>
      </c>
    </row>
    <row r="1462" spans="1:3" s="311" customFormat="1" x14ac:dyDescent="0.2">
      <c r="A1462" s="312" t="s">
        <v>4074</v>
      </c>
      <c r="B1462" s="311" t="str">
        <f>IF(ISBLANK(PedBerMedIV!$C$21),"",PedBerMedIV!$C$21)</f>
        <v/>
      </c>
      <c r="C1462" s="130"/>
    </row>
    <row r="1463" spans="1:3" s="311" customFormat="1" x14ac:dyDescent="0.2">
      <c r="A1463" s="312" t="s">
        <v>4075</v>
      </c>
      <c r="B1463" s="311" t="str">
        <f>IF(ISBLANK(PedBerMedIV!$C$22),"",PedBerMedIV!$C$22)</f>
        <v/>
      </c>
      <c r="C1463" s="130"/>
    </row>
    <row r="1464" spans="1:3" s="311" customFormat="1" x14ac:dyDescent="0.2">
      <c r="A1464" s="312" t="s">
        <v>4076</v>
      </c>
      <c r="B1464" s="311" t="str">
        <f>IF(ISBLANK(PedBerMedIV!$C$23),"",PedBerMedIV!$C$23)</f>
        <v/>
      </c>
      <c r="C1464" s="130"/>
    </row>
    <row r="1465" spans="1:3" s="311" customFormat="1" x14ac:dyDescent="0.2">
      <c r="A1465" s="312" t="s">
        <v>4077</v>
      </c>
      <c r="B1465" s="311" t="str">
        <f>IF(ISBLANK(PedBerMedIV!$C$24),"",PedBerMedIV!$C$24)</f>
        <v/>
      </c>
      <c r="C1465" s="130"/>
    </row>
    <row r="1466" spans="1:3" s="311" customFormat="1" x14ac:dyDescent="0.2">
      <c r="A1466" s="312" t="s">
        <v>4078</v>
      </c>
      <c r="B1466" s="311" t="str">
        <f>IF(ISBLANK(PedBerMedIV!$C$25),"",PedBerMedIV!$C$25)</f>
        <v/>
      </c>
      <c r="C1466" s="130"/>
    </row>
    <row r="1467" spans="1:3" x14ac:dyDescent="0.2">
      <c r="A1467" s="311" t="s">
        <v>3223</v>
      </c>
      <c r="B1467">
        <f>IF(ISBLANK(PedBerMedIV!$F$5),"",PedBerMedIV!$F$5)</f>
        <v>1</v>
      </c>
      <c r="C1467">
        <v>1</v>
      </c>
    </row>
    <row r="1468" spans="1:3" x14ac:dyDescent="0.2">
      <c r="A1468" s="311" t="s">
        <v>3224</v>
      </c>
      <c r="B1468">
        <f>IF(ISBLANK(PedBerMedIV!$F$6),"",PedBerMedIV!$F$6)</f>
        <v>1</v>
      </c>
      <c r="C1468">
        <v>1</v>
      </c>
    </row>
    <row r="1469" spans="1:3" x14ac:dyDescent="0.2">
      <c r="A1469" s="311" t="s">
        <v>3225</v>
      </c>
      <c r="B1469">
        <f>IF(ISBLANK(PedBerMedIV!$F$7),"",PedBerMedIV!$F$7)</f>
        <v>1</v>
      </c>
      <c r="C1469">
        <v>1</v>
      </c>
    </row>
    <row r="1470" spans="1:3" x14ac:dyDescent="0.2">
      <c r="A1470" s="311" t="s">
        <v>3226</v>
      </c>
      <c r="B1470">
        <f>IF(ISBLANK(PedBerMedIV!$F$8),"",PedBerMedIV!$F$8)</f>
        <v>1</v>
      </c>
      <c r="C1470">
        <v>1</v>
      </c>
    </row>
    <row r="1471" spans="1:3" x14ac:dyDescent="0.2">
      <c r="A1471" s="311" t="s">
        <v>3227</v>
      </c>
      <c r="B1471">
        <f>IF(ISBLANK(PedBerMedIV!$F$9),"",PedBerMedIV!$F$9)</f>
        <v>1</v>
      </c>
      <c r="C1471">
        <v>1</v>
      </c>
    </row>
    <row r="1472" spans="1:3" x14ac:dyDescent="0.2">
      <c r="A1472" s="311" t="s">
        <v>3228</v>
      </c>
      <c r="B1472">
        <f>IF(ISBLANK(PedBerMedIV!$F$10),"",PedBerMedIV!$F$10)</f>
        <v>1</v>
      </c>
      <c r="C1472">
        <v>1</v>
      </c>
    </row>
    <row r="1473" spans="1:3" x14ac:dyDescent="0.2">
      <c r="A1473" s="311" t="s">
        <v>3229</v>
      </c>
      <c r="B1473">
        <f>IF(ISBLANK(PedBerMedIV!$F$11),"",PedBerMedIV!$F$11)</f>
        <v>1</v>
      </c>
      <c r="C1473">
        <v>1</v>
      </c>
    </row>
    <row r="1474" spans="1:3" x14ac:dyDescent="0.2">
      <c r="A1474" s="311" t="s">
        <v>3230</v>
      </c>
      <c r="B1474">
        <f>IF(ISBLANK(PedBerMedIV!$F$12),"",PedBerMedIV!$F$12)</f>
        <v>1</v>
      </c>
      <c r="C1474">
        <v>1</v>
      </c>
    </row>
    <row r="1475" spans="1:3" x14ac:dyDescent="0.2">
      <c r="A1475" s="311" t="s">
        <v>3231</v>
      </c>
      <c r="B1475">
        <f>IF(ISBLANK(PedBerMedIV!$F$13),"",PedBerMedIV!$F$13)</f>
        <v>1</v>
      </c>
      <c r="C1475">
        <v>1</v>
      </c>
    </row>
    <row r="1476" spans="1:3" x14ac:dyDescent="0.2">
      <c r="A1476" s="311" t="s">
        <v>3232</v>
      </c>
      <c r="B1476">
        <f>IF(ISBLANK(PedBerMedIV!$F$14),"",PedBerMedIV!$F$14)</f>
        <v>1</v>
      </c>
      <c r="C1476">
        <v>1</v>
      </c>
    </row>
    <row r="1477" spans="1:3" x14ac:dyDescent="0.2">
      <c r="A1477" s="311" t="s">
        <v>3233</v>
      </c>
      <c r="B1477">
        <f>IF(ISBLANK(PedBerMedIV!$F$15),"",PedBerMedIV!$F$15)</f>
        <v>1</v>
      </c>
      <c r="C1477">
        <v>1</v>
      </c>
    </row>
    <row r="1478" spans="1:3" x14ac:dyDescent="0.2">
      <c r="A1478" s="311" t="s">
        <v>3234</v>
      </c>
      <c r="B1478">
        <f>IF(ISBLANK(PedBerMedIV!$F$16),"",PedBerMedIV!$F$16)</f>
        <v>1</v>
      </c>
      <c r="C1478">
        <v>1</v>
      </c>
    </row>
    <row r="1479" spans="1:3" x14ac:dyDescent="0.2">
      <c r="A1479" s="311" t="s">
        <v>3235</v>
      </c>
      <c r="B1479">
        <f>IF(ISBLANK(PedBerMedIV!$F$17),"",PedBerMedIV!$F$17)</f>
        <v>1</v>
      </c>
      <c r="C1479">
        <v>1</v>
      </c>
    </row>
    <row r="1480" spans="1:3" x14ac:dyDescent="0.2">
      <c r="A1480" s="311" t="s">
        <v>3236</v>
      </c>
      <c r="B1480">
        <f>IF(ISBLANK(PedBerMedIV!$F$18),"",PedBerMedIV!$F$18)</f>
        <v>1</v>
      </c>
      <c r="C1480">
        <v>1</v>
      </c>
    </row>
    <row r="1481" spans="1:3" x14ac:dyDescent="0.2">
      <c r="A1481" s="311" t="s">
        <v>3237</v>
      </c>
      <c r="B1481">
        <f>IF(ISBLANK(PedBerMedIV!$F$19),"",PedBerMedIV!$F$19)</f>
        <v>1</v>
      </c>
      <c r="C1481">
        <v>1</v>
      </c>
    </row>
    <row r="1482" spans="1:3" s="311" customFormat="1" x14ac:dyDescent="0.2">
      <c r="A1482" s="312" t="s">
        <v>4079</v>
      </c>
      <c r="B1482" s="311">
        <f>IF(ISBLANK(PedBerMedIV!$F$21),"",PedBerMedIV!$F$21)</f>
        <v>1</v>
      </c>
      <c r="C1482" s="311">
        <v>1</v>
      </c>
    </row>
    <row r="1483" spans="1:3" s="311" customFormat="1" x14ac:dyDescent="0.2">
      <c r="A1483" s="312" t="s">
        <v>4080</v>
      </c>
      <c r="B1483" s="311">
        <f>IF(ISBLANK(PedBerMedIV!$F$22),"",PedBerMedIV!$F$22)</f>
        <v>1</v>
      </c>
      <c r="C1483" s="311">
        <v>1</v>
      </c>
    </row>
    <row r="1484" spans="1:3" s="311" customFormat="1" x14ac:dyDescent="0.2">
      <c r="A1484" s="312" t="s">
        <v>4081</v>
      </c>
      <c r="B1484" s="311">
        <f>IF(ISBLANK(PedBerMedIV!$F$23),"",PedBerMedIV!$F$23)</f>
        <v>1</v>
      </c>
      <c r="C1484" s="311">
        <v>1</v>
      </c>
    </row>
    <row r="1485" spans="1:3" s="311" customFormat="1" x14ac:dyDescent="0.2">
      <c r="A1485" s="312" t="s">
        <v>4082</v>
      </c>
      <c r="B1485" s="311">
        <f>IF(ISBLANK(PedBerMedIV!$F$24),"",PedBerMedIV!$F$24)</f>
        <v>1</v>
      </c>
      <c r="C1485" s="311">
        <v>1</v>
      </c>
    </row>
    <row r="1486" spans="1:3" s="311" customFormat="1" x14ac:dyDescent="0.2">
      <c r="A1486" s="312" t="s">
        <v>4083</v>
      </c>
      <c r="B1486" s="311">
        <f>IF(ISBLANK(PedBerMedIV!$F$25),"",PedBerMedIV!$F$25)</f>
        <v>1</v>
      </c>
      <c r="C1486" s="311">
        <v>1</v>
      </c>
    </row>
    <row r="1487" spans="1:3" x14ac:dyDescent="0.2">
      <c r="A1487" s="311" t="s">
        <v>3238</v>
      </c>
      <c r="B1487">
        <f>IF(ISBLANK(PedBerMedIV!$E$5),"",PedBerMedIV!$E$5)</f>
        <v>0</v>
      </c>
      <c r="C1487" s="313">
        <v>0</v>
      </c>
    </row>
    <row r="1488" spans="1:3" x14ac:dyDescent="0.2">
      <c r="A1488" s="311" t="s">
        <v>3239</v>
      </c>
      <c r="B1488">
        <f>IF(ISBLANK(PedBerMedIV!$E$6),"",PedBerMedIV!$E$6)</f>
        <v>0</v>
      </c>
      <c r="C1488" s="313">
        <v>0</v>
      </c>
    </row>
    <row r="1489" spans="1:3" x14ac:dyDescent="0.2">
      <c r="A1489" s="311" t="s">
        <v>3240</v>
      </c>
      <c r="B1489">
        <f>IF(ISBLANK(PedBerMedIV!$E$7),"",PedBerMedIV!$E$7)</f>
        <v>0</v>
      </c>
      <c r="C1489" s="313">
        <v>0</v>
      </c>
    </row>
    <row r="1490" spans="1:3" x14ac:dyDescent="0.2">
      <c r="A1490" s="311" t="s">
        <v>3241</v>
      </c>
      <c r="B1490">
        <f>IF(ISBLANK(PedBerMedIV!$E$8),"",PedBerMedIV!$E$8)</f>
        <v>0</v>
      </c>
      <c r="C1490" s="313">
        <v>0</v>
      </c>
    </row>
    <row r="1491" spans="1:3" x14ac:dyDescent="0.2">
      <c r="A1491" s="311" t="s">
        <v>3242</v>
      </c>
      <c r="B1491">
        <f>IF(ISBLANK(PedBerMedIV!$E$9),"",PedBerMedIV!$E$9)</f>
        <v>0</v>
      </c>
      <c r="C1491" s="313">
        <v>0</v>
      </c>
    </row>
    <row r="1492" spans="1:3" x14ac:dyDescent="0.2">
      <c r="A1492" s="311" t="s">
        <v>3243</v>
      </c>
      <c r="B1492">
        <f>IF(ISBLANK(PedBerMedIV!$E$10),"",PedBerMedIV!$E$10)</f>
        <v>0</v>
      </c>
      <c r="C1492" s="313">
        <v>0</v>
      </c>
    </row>
    <row r="1493" spans="1:3" x14ac:dyDescent="0.2">
      <c r="A1493" s="311" t="s">
        <v>3244</v>
      </c>
      <c r="B1493">
        <f>IF(ISBLANK(PedBerMedIV!$E$11),"",PedBerMedIV!$E$11)</f>
        <v>0</v>
      </c>
      <c r="C1493" s="313">
        <v>0</v>
      </c>
    </row>
    <row r="1494" spans="1:3" x14ac:dyDescent="0.2">
      <c r="A1494" s="311" t="s">
        <v>3245</v>
      </c>
      <c r="B1494">
        <f>IF(ISBLANK(PedBerMedIV!$E$12),"",PedBerMedIV!$E$12)</f>
        <v>0</v>
      </c>
      <c r="C1494" s="313">
        <v>0</v>
      </c>
    </row>
    <row r="1495" spans="1:3" x14ac:dyDescent="0.2">
      <c r="A1495" s="311" t="s">
        <v>3246</v>
      </c>
      <c r="B1495">
        <f>IF(ISBLANK(PedBerMedIV!$E$13),"",PedBerMedIV!$E$13)</f>
        <v>0</v>
      </c>
      <c r="C1495" s="313">
        <v>0</v>
      </c>
    </row>
    <row r="1496" spans="1:3" x14ac:dyDescent="0.2">
      <c r="A1496" s="311" t="s">
        <v>3247</v>
      </c>
      <c r="B1496">
        <f>IF(ISBLANK(PedBerMedIV!$E$14),"",PedBerMedIV!$E$14)</f>
        <v>0</v>
      </c>
      <c r="C1496" s="313">
        <v>0</v>
      </c>
    </row>
    <row r="1497" spans="1:3" x14ac:dyDescent="0.2">
      <c r="A1497" s="311" t="s">
        <v>3248</v>
      </c>
      <c r="B1497">
        <f>IF(ISBLANK(PedBerMedIV!$E$15),"",PedBerMedIV!$E$15)</f>
        <v>0</v>
      </c>
      <c r="C1497" s="313">
        <v>0</v>
      </c>
    </row>
    <row r="1498" spans="1:3" x14ac:dyDescent="0.2">
      <c r="A1498" s="311" t="s">
        <v>3249</v>
      </c>
      <c r="B1498">
        <f>IF(ISBLANK(PedBerMedIV!$E$16),"",PedBerMedIV!$E$16)</f>
        <v>0</v>
      </c>
      <c r="C1498" s="313">
        <v>0</v>
      </c>
    </row>
    <row r="1499" spans="1:3" x14ac:dyDescent="0.2">
      <c r="A1499" s="311" t="s">
        <v>3250</v>
      </c>
      <c r="B1499">
        <f>IF(ISBLANK(PedBerMedIV!$E$17),"",PedBerMedIV!$E$17)</f>
        <v>0</v>
      </c>
      <c r="C1499" s="313">
        <v>0</v>
      </c>
    </row>
    <row r="1500" spans="1:3" x14ac:dyDescent="0.2">
      <c r="A1500" s="311" t="s">
        <v>3251</v>
      </c>
      <c r="B1500">
        <f>IF(ISBLANK(PedBerMedIV!$E$18),"",PedBerMedIV!$E$18)</f>
        <v>0</v>
      </c>
      <c r="C1500" s="313">
        <v>0</v>
      </c>
    </row>
    <row r="1501" spans="1:3" x14ac:dyDescent="0.2">
      <c r="A1501" s="311" t="s">
        <v>3252</v>
      </c>
      <c r="B1501">
        <f>IF(ISBLANK(PedBerMedIV!$E$19),"",PedBerMedIV!$E$19)</f>
        <v>0</v>
      </c>
      <c r="C1501" s="313">
        <v>0</v>
      </c>
    </row>
    <row r="1502" spans="1:3" s="311" customFormat="1" x14ac:dyDescent="0.2">
      <c r="A1502" s="312" t="s">
        <v>4085</v>
      </c>
      <c r="B1502" s="311">
        <f>IF(ISBLANK(PedBerMedIV!$E$21),"",PedBerMedIV!$E$21)</f>
        <v>0</v>
      </c>
      <c r="C1502" s="313">
        <v>0</v>
      </c>
    </row>
    <row r="1503" spans="1:3" s="311" customFormat="1" x14ac:dyDescent="0.2">
      <c r="A1503" s="312" t="s">
        <v>4087</v>
      </c>
      <c r="B1503" s="311">
        <f>IF(ISBLANK(PedBerMedIV!$E$22),"",PedBerMedIV!$E$22)</f>
        <v>0</v>
      </c>
      <c r="C1503" s="313">
        <v>0</v>
      </c>
    </row>
    <row r="1504" spans="1:3" s="311" customFormat="1" x14ac:dyDescent="0.2">
      <c r="A1504" s="312" t="s">
        <v>4088</v>
      </c>
      <c r="B1504" s="311">
        <f>IF(ISBLANK(PedBerMedIV!$E$23),"",PedBerMedIV!$E$23)</f>
        <v>0</v>
      </c>
      <c r="C1504" s="313">
        <v>0</v>
      </c>
    </row>
    <row r="1505" spans="1:3" s="311" customFormat="1" x14ac:dyDescent="0.2">
      <c r="A1505" s="312" t="s">
        <v>4090</v>
      </c>
      <c r="B1505" s="311">
        <f>IF(ISBLANK(PedBerMedIV!$E$24),"",PedBerMedIV!$E$24)</f>
        <v>0</v>
      </c>
      <c r="C1505" s="313">
        <v>0</v>
      </c>
    </row>
    <row r="1506" spans="1:3" s="311" customFormat="1" x14ac:dyDescent="0.2">
      <c r="A1506" s="312" t="s">
        <v>4092</v>
      </c>
      <c r="B1506" s="311">
        <f>IF(ISBLANK(PedBerMedIV!$E$25),"",PedBerMedIV!$E$25)</f>
        <v>0</v>
      </c>
      <c r="C1506" s="313">
        <v>0</v>
      </c>
    </row>
    <row r="1507" spans="1:3" x14ac:dyDescent="0.2">
      <c r="A1507" s="311" t="s">
        <v>3253</v>
      </c>
      <c r="B1507" t="str">
        <f>IF(ISBLANK(PedBerMedIV!$C$28),"",PedBerMedIV!$C$28)</f>
        <v/>
      </c>
      <c r="C1507" s="130"/>
    </row>
    <row r="1508" spans="1:3" x14ac:dyDescent="0.2">
      <c r="A1508" s="311" t="s">
        <v>3254</v>
      </c>
      <c r="B1508">
        <f>IF(ISBLANK(PedBerMedIV!$G$5),"",PedBerMedIV!$G$5)</f>
        <v>0</v>
      </c>
      <c r="C1508" s="313">
        <v>0</v>
      </c>
    </row>
    <row r="1509" spans="1:3" x14ac:dyDescent="0.2">
      <c r="A1509" s="311" t="s">
        <v>3255</v>
      </c>
      <c r="B1509">
        <f>IF(ISBLANK(PedBerMedIV!$G$6),"",PedBerMedIV!$G$6)</f>
        <v>0</v>
      </c>
      <c r="C1509" s="313">
        <v>0</v>
      </c>
    </row>
    <row r="1510" spans="1:3" x14ac:dyDescent="0.2">
      <c r="A1510" s="311" t="s">
        <v>3256</v>
      </c>
      <c r="B1510">
        <f>IF(ISBLANK(PedBerMedIV!$G$7),"",PedBerMedIV!$G$7)</f>
        <v>0</v>
      </c>
      <c r="C1510" s="313">
        <v>0</v>
      </c>
    </row>
    <row r="1511" spans="1:3" x14ac:dyDescent="0.2">
      <c r="A1511" s="311" t="s">
        <v>3257</v>
      </c>
      <c r="B1511">
        <f>IF(ISBLANK(PedBerMedIV!$G$8),"",PedBerMedIV!$G$8)</f>
        <v>0</v>
      </c>
      <c r="C1511" s="313">
        <v>0</v>
      </c>
    </row>
    <row r="1512" spans="1:3" x14ac:dyDescent="0.2">
      <c r="A1512" s="311" t="s">
        <v>3258</v>
      </c>
      <c r="B1512">
        <f>IF(ISBLANK(PedBerMedIV!$G$9),"",PedBerMedIV!$G$9)</f>
        <v>0</v>
      </c>
      <c r="C1512" s="313">
        <v>0</v>
      </c>
    </row>
    <row r="1513" spans="1:3" x14ac:dyDescent="0.2">
      <c r="A1513" s="311" t="s">
        <v>3259</v>
      </c>
      <c r="B1513">
        <f>IF(ISBLANK(PedBerMedIV!$G$10),"",PedBerMedIV!$G$10)</f>
        <v>0</v>
      </c>
      <c r="C1513" s="313">
        <v>0</v>
      </c>
    </row>
    <row r="1514" spans="1:3" x14ac:dyDescent="0.2">
      <c r="A1514" s="311" t="s">
        <v>3260</v>
      </c>
      <c r="B1514">
        <f>IF(ISBLANK(PedBerMedIV!$G$11),"",PedBerMedIV!$G$11)</f>
        <v>0</v>
      </c>
      <c r="C1514" s="313">
        <v>0</v>
      </c>
    </row>
    <row r="1515" spans="1:3" x14ac:dyDescent="0.2">
      <c r="A1515" s="311" t="s">
        <v>3261</v>
      </c>
      <c r="B1515">
        <f>IF(ISBLANK(PedBerMedIV!$G$12),"",PedBerMedIV!$G$12)</f>
        <v>0</v>
      </c>
      <c r="C1515" s="313">
        <v>0</v>
      </c>
    </row>
    <row r="1516" spans="1:3" x14ac:dyDescent="0.2">
      <c r="A1516" s="311" t="s">
        <v>3262</v>
      </c>
      <c r="B1516">
        <f>IF(ISBLANK(PedBerMedIV!$G$13),"",PedBerMedIV!$G$13)</f>
        <v>0</v>
      </c>
      <c r="C1516" s="313">
        <v>0</v>
      </c>
    </row>
    <row r="1517" spans="1:3" x14ac:dyDescent="0.2">
      <c r="A1517" s="311" t="s">
        <v>3263</v>
      </c>
      <c r="B1517">
        <f>IF(ISBLANK(PedBerMedIV!$G$14),"",PedBerMedIV!$G$14)</f>
        <v>0</v>
      </c>
      <c r="C1517" s="313">
        <v>0</v>
      </c>
    </row>
    <row r="1518" spans="1:3" x14ac:dyDescent="0.2">
      <c r="A1518" s="311" t="s">
        <v>3264</v>
      </c>
      <c r="B1518">
        <f>IF(ISBLANK(PedBerMedIV!$G$15),"",PedBerMedIV!$G$15)</f>
        <v>0</v>
      </c>
      <c r="C1518" s="313">
        <v>0</v>
      </c>
    </row>
    <row r="1519" spans="1:3" x14ac:dyDescent="0.2">
      <c r="A1519" s="311" t="s">
        <v>3265</v>
      </c>
      <c r="B1519">
        <f>IF(ISBLANK(PedBerMedIV!$G$16),"",PedBerMedIV!$G$16)</f>
        <v>0</v>
      </c>
      <c r="C1519" s="313">
        <v>0</v>
      </c>
    </row>
    <row r="1520" spans="1:3" x14ac:dyDescent="0.2">
      <c r="A1520" s="311" t="s">
        <v>3266</v>
      </c>
      <c r="B1520">
        <f>IF(ISBLANK(PedBerMedIV!$G$17),"",PedBerMedIV!$G$17)</f>
        <v>0</v>
      </c>
      <c r="C1520" s="313">
        <v>0</v>
      </c>
    </row>
    <row r="1521" spans="1:3" x14ac:dyDescent="0.2">
      <c r="A1521" s="311" t="s">
        <v>3267</v>
      </c>
      <c r="B1521">
        <f>IF(ISBLANK(PedBerMedIV!$G$18),"",PedBerMedIV!$G$18)</f>
        <v>0</v>
      </c>
      <c r="C1521" s="313">
        <v>0</v>
      </c>
    </row>
    <row r="1522" spans="1:3" x14ac:dyDescent="0.2">
      <c r="A1522" s="311" t="s">
        <v>3268</v>
      </c>
      <c r="B1522">
        <f>IF(ISBLANK(PedBerMedIV!$G$19),"",PedBerMedIV!$G$19)</f>
        <v>0</v>
      </c>
      <c r="C1522" s="313">
        <v>0</v>
      </c>
    </row>
    <row r="1523" spans="1:3" s="311" customFormat="1" x14ac:dyDescent="0.2">
      <c r="A1523" s="312" t="s">
        <v>4093</v>
      </c>
      <c r="B1523" s="311">
        <f>IF(ISBLANK(PedBerMedIV!$G$21),"",PedBerMedIV!$G$21)</f>
        <v>0</v>
      </c>
      <c r="C1523" s="313">
        <v>0</v>
      </c>
    </row>
    <row r="1524" spans="1:3" s="311" customFormat="1" x14ac:dyDescent="0.2">
      <c r="A1524" s="312" t="s">
        <v>4094</v>
      </c>
      <c r="B1524" s="311">
        <f>IF(ISBLANK(PedBerMedIV!$G$22),"",PedBerMedIV!$G$22)</f>
        <v>0</v>
      </c>
      <c r="C1524" s="313">
        <v>0</v>
      </c>
    </row>
    <row r="1525" spans="1:3" s="311" customFormat="1" x14ac:dyDescent="0.2">
      <c r="A1525" s="312" t="s">
        <v>4095</v>
      </c>
      <c r="B1525" s="311">
        <f>IF(ISBLANK(PedBerMedIV!$G$23),"",PedBerMedIV!$G$23)</f>
        <v>0</v>
      </c>
      <c r="C1525" s="313">
        <v>0</v>
      </c>
    </row>
    <row r="1526" spans="1:3" s="311" customFormat="1" x14ac:dyDescent="0.2">
      <c r="A1526" s="312" t="s">
        <v>4096</v>
      </c>
      <c r="B1526" s="311">
        <f>IF(ISBLANK(PedBerMedIV!$G$24),"",PedBerMedIV!$G$24)</f>
        <v>0</v>
      </c>
      <c r="C1526" s="313">
        <v>0</v>
      </c>
    </row>
    <row r="1527" spans="1:3" s="311" customFormat="1" x14ac:dyDescent="0.2">
      <c r="A1527" s="312" t="s">
        <v>4097</v>
      </c>
      <c r="B1527" s="311">
        <f>IF(ISBLANK(PedBerMedIV!$G$25),"",PedBerMedIV!$G$25)</f>
        <v>0</v>
      </c>
      <c r="C1527" s="313">
        <v>0</v>
      </c>
    </row>
    <row r="1528" spans="1:3" x14ac:dyDescent="0.2">
      <c r="A1528" s="311" t="s">
        <v>3269</v>
      </c>
      <c r="B1528">
        <f>IF(ISBLANK(PedBerMedIV!$D$5),"",PedBerMedIV!$D$5)</f>
        <v>0</v>
      </c>
      <c r="C1528" s="313">
        <v>0</v>
      </c>
    </row>
    <row r="1529" spans="1:3" x14ac:dyDescent="0.2">
      <c r="A1529" s="311" t="s">
        <v>3270</v>
      </c>
      <c r="B1529">
        <f>IF(ISBLANK(PedBerMedIV!$D$6),"",PedBerMedIV!$D$6)</f>
        <v>0</v>
      </c>
      <c r="C1529" s="313">
        <v>0</v>
      </c>
    </row>
    <row r="1530" spans="1:3" x14ac:dyDescent="0.2">
      <c r="A1530" s="311" t="s">
        <v>3271</v>
      </c>
      <c r="B1530">
        <f>IF(ISBLANK(PedBerMedIV!$D$7),"",PedBerMedIV!$D$7)</f>
        <v>0</v>
      </c>
      <c r="C1530" s="313">
        <v>0</v>
      </c>
    </row>
    <row r="1531" spans="1:3" x14ac:dyDescent="0.2">
      <c r="A1531" s="311" t="s">
        <v>3272</v>
      </c>
      <c r="B1531">
        <f>IF(ISBLANK(PedBerMedIV!$D$8),"",PedBerMedIV!$D$8)</f>
        <v>0</v>
      </c>
      <c r="C1531" s="313">
        <v>0</v>
      </c>
    </row>
    <row r="1532" spans="1:3" x14ac:dyDescent="0.2">
      <c r="A1532" s="311" t="s">
        <v>3273</v>
      </c>
      <c r="B1532">
        <f>IF(ISBLANK(PedBerMedIV!$D$9),"",PedBerMedIV!$D$9)</f>
        <v>0</v>
      </c>
      <c r="C1532" s="313">
        <v>0</v>
      </c>
    </row>
    <row r="1533" spans="1:3" x14ac:dyDescent="0.2">
      <c r="A1533" s="311" t="s">
        <v>3274</v>
      </c>
      <c r="B1533">
        <f>IF(ISBLANK(PedBerMedIV!$D$10),"",PedBerMedIV!$D$10)</f>
        <v>0</v>
      </c>
      <c r="C1533" s="313">
        <v>0</v>
      </c>
    </row>
    <row r="1534" spans="1:3" x14ac:dyDescent="0.2">
      <c r="A1534" s="311" t="s">
        <v>3275</v>
      </c>
      <c r="B1534">
        <f>IF(ISBLANK(PedBerMedIV!$D$11),"",PedBerMedIV!$D$11)</f>
        <v>0</v>
      </c>
      <c r="C1534" s="313">
        <v>0</v>
      </c>
    </row>
    <row r="1535" spans="1:3" x14ac:dyDescent="0.2">
      <c r="A1535" s="311" t="s">
        <v>3276</v>
      </c>
      <c r="B1535">
        <f>IF(ISBLANK(PedBerMedIV!$D$12),"",PedBerMedIV!$D$12)</f>
        <v>0</v>
      </c>
      <c r="C1535" s="313">
        <v>0</v>
      </c>
    </row>
    <row r="1536" spans="1:3" x14ac:dyDescent="0.2">
      <c r="A1536" s="311" t="s">
        <v>3277</v>
      </c>
      <c r="B1536">
        <f>IF(ISBLANK(PedBerMedIV!$D$13),"",PedBerMedIV!$D$13)</f>
        <v>0</v>
      </c>
      <c r="C1536" s="313">
        <v>0</v>
      </c>
    </row>
    <row r="1537" spans="1:3" x14ac:dyDescent="0.2">
      <c r="A1537" s="311" t="s">
        <v>3278</v>
      </c>
      <c r="B1537">
        <f>IF(ISBLANK(PedBerMedIV!$D$14),"",PedBerMedIV!$D$14)</f>
        <v>0</v>
      </c>
      <c r="C1537" s="313">
        <v>0</v>
      </c>
    </row>
    <row r="1538" spans="1:3" x14ac:dyDescent="0.2">
      <c r="A1538" s="311" t="s">
        <v>3279</v>
      </c>
      <c r="B1538">
        <f>IF(ISBLANK(PedBerMedIV!$D$15),"",PedBerMedIV!$D$15)</f>
        <v>0</v>
      </c>
      <c r="C1538" s="313">
        <v>0</v>
      </c>
    </row>
    <row r="1539" spans="1:3" x14ac:dyDescent="0.2">
      <c r="A1539" s="311" t="s">
        <v>3280</v>
      </c>
      <c r="B1539">
        <f>IF(ISBLANK(PedBerMedIV!$D$16),"",PedBerMedIV!$D$16)</f>
        <v>0</v>
      </c>
      <c r="C1539" s="313">
        <v>0</v>
      </c>
    </row>
    <row r="1540" spans="1:3" x14ac:dyDescent="0.2">
      <c r="A1540" s="311" t="s">
        <v>3281</v>
      </c>
      <c r="B1540">
        <f>IF(ISBLANK(PedBerMedIV!$D$17),"",PedBerMedIV!$D$17)</f>
        <v>0</v>
      </c>
      <c r="C1540" s="313">
        <v>0</v>
      </c>
    </row>
    <row r="1541" spans="1:3" x14ac:dyDescent="0.2">
      <c r="A1541" s="311" t="s">
        <v>3282</v>
      </c>
      <c r="B1541">
        <f>IF(ISBLANK(PedBerMedIV!$D$18),"",PedBerMedIV!$D$18)</f>
        <v>0</v>
      </c>
      <c r="C1541" s="313">
        <v>0</v>
      </c>
    </row>
    <row r="1542" spans="1:3" x14ac:dyDescent="0.2">
      <c r="A1542" s="311" t="s">
        <v>3283</v>
      </c>
      <c r="B1542">
        <f>IF(ISBLANK(PedBerMedIV!$D$19),"",PedBerMedIV!$D$19)</f>
        <v>0</v>
      </c>
      <c r="C1542" s="313">
        <v>0</v>
      </c>
    </row>
    <row r="1543" spans="1:3" s="311" customFormat="1" x14ac:dyDescent="0.2">
      <c r="A1543" s="312" t="s">
        <v>4099</v>
      </c>
      <c r="B1543" s="311">
        <f>IF(ISBLANK(PedBerMedIV!$D$21),"",PedBerMedIV!$D$21)</f>
        <v>0</v>
      </c>
      <c r="C1543" s="313">
        <v>0</v>
      </c>
    </row>
    <row r="1544" spans="1:3" s="311" customFormat="1" x14ac:dyDescent="0.2">
      <c r="A1544" s="312" t="s">
        <v>4101</v>
      </c>
      <c r="B1544" s="311">
        <f>IF(ISBLANK(PedBerMedIV!$D$22),"",PedBerMedIV!$D$22)</f>
        <v>0</v>
      </c>
      <c r="C1544" s="313">
        <v>0</v>
      </c>
    </row>
    <row r="1545" spans="1:3" s="311" customFormat="1" x14ac:dyDescent="0.2">
      <c r="A1545" s="312" t="s">
        <v>4102</v>
      </c>
      <c r="B1545" s="311">
        <f>IF(ISBLANK(PedBerMedIV!$D$23),"",PedBerMedIV!$D$23)</f>
        <v>0</v>
      </c>
      <c r="C1545" s="313">
        <v>0</v>
      </c>
    </row>
    <row r="1546" spans="1:3" s="311" customFormat="1" x14ac:dyDescent="0.2">
      <c r="A1546" s="312" t="s">
        <v>4104</v>
      </c>
      <c r="B1546" s="311">
        <f>IF(ISBLANK(PedBerMedIV!$D$24),"",PedBerMedIV!$D$24)</f>
        <v>0</v>
      </c>
      <c r="C1546" s="313">
        <v>0</v>
      </c>
    </row>
    <row r="1547" spans="1:3" s="311" customFormat="1" x14ac:dyDescent="0.2">
      <c r="A1547" s="312" t="s">
        <v>4106</v>
      </c>
      <c r="B1547" s="311">
        <f>IF(ISBLANK(PedBerMedIV!$D$25),"",PedBerMedIV!$D$25)</f>
        <v>0</v>
      </c>
      <c r="C1547" s="313">
        <v>0</v>
      </c>
    </row>
    <row r="1548" spans="1:3" x14ac:dyDescent="0.2">
      <c r="A1548" s="311" t="s">
        <v>3284</v>
      </c>
      <c r="B1548">
        <f>IF(ISBLANK(PedBerIVenPM!$H$2),"",PedBerIVenPM!$H$2)</f>
        <v>1</v>
      </c>
      <c r="C1548">
        <v>1</v>
      </c>
    </row>
    <row r="1549" spans="1:3" x14ac:dyDescent="0.2">
      <c r="A1549" s="311" t="s">
        <v>3285</v>
      </c>
      <c r="B1549">
        <f>IF(ISBLANK(PedBerIVenPM!$K$2),"",PedBerIVenPM!$K$2)</f>
        <v>1</v>
      </c>
      <c r="C1549">
        <v>1</v>
      </c>
    </row>
    <row r="1550" spans="1:3" x14ac:dyDescent="0.2">
      <c r="A1550" s="311" t="s">
        <v>3286</v>
      </c>
      <c r="B1550">
        <f>IF(ISBLANK(PedBerIVenPM!$K$5),"",PedBerIVenPM!$K$5)</f>
        <v>2</v>
      </c>
      <c r="C1550">
        <v>2</v>
      </c>
    </row>
    <row r="1551" spans="1:3" x14ac:dyDescent="0.2">
      <c r="A1551" s="311" t="s">
        <v>3287</v>
      </c>
      <c r="B1551">
        <f>IF(ISBLANK(PedBerIVenPM!$K$4),"",PedBerIVenPM!$K$4)</f>
        <v>20</v>
      </c>
      <c r="C1551">
        <v>20</v>
      </c>
    </row>
    <row r="1552" spans="1:3" x14ac:dyDescent="0.2">
      <c r="A1552" s="311" t="s">
        <v>3288</v>
      </c>
      <c r="B1552">
        <f>IF(ISBLANK(PedBerIVenPM!$K$1),"",PedBerIVenPM!$K$1)</f>
        <v>30</v>
      </c>
      <c r="C1552">
        <v>30</v>
      </c>
    </row>
    <row r="1553" spans="1:3" x14ac:dyDescent="0.2">
      <c r="A1553" s="311" t="s">
        <v>3289</v>
      </c>
      <c r="B1553">
        <f>IF(ISBLANK(PedBerIVenPM!$I$2),"",PedBerIVenPM!$I$2)</f>
        <v>1</v>
      </c>
      <c r="C1553">
        <v>1</v>
      </c>
    </row>
    <row r="1554" spans="1:3" x14ac:dyDescent="0.2">
      <c r="A1554" s="311" t="s">
        <v>3290</v>
      </c>
      <c r="B1554">
        <f>IF(ISBLANK(PedBerIVenPM!$K$3),"",PedBerIVenPM!$K$3)</f>
        <v>1</v>
      </c>
      <c r="C1554">
        <v>1</v>
      </c>
    </row>
    <row r="1555" spans="1:3" x14ac:dyDescent="0.2">
      <c r="A1555" s="311" t="s">
        <v>3291</v>
      </c>
      <c r="B1555">
        <f>IF(ISBLANK(PedBerIVenPM!$K$6),"",PedBerIVenPM!$K$6)</f>
        <v>10</v>
      </c>
      <c r="C1555">
        <v>10</v>
      </c>
    </row>
    <row r="1556" spans="1:3" x14ac:dyDescent="0.2">
      <c r="A1556" s="311" t="s">
        <v>3292</v>
      </c>
      <c r="B1556" t="b">
        <f>IF(ISBLANK(PedBerTPN!$C$9),"",PedBerTPN!$C$9)</f>
        <v>0</v>
      </c>
      <c r="C1556" t="b">
        <v>0</v>
      </c>
    </row>
    <row r="1557" spans="1:3" x14ac:dyDescent="0.2">
      <c r="A1557" s="311" t="s">
        <v>3293</v>
      </c>
      <c r="B1557">
        <f>IF(ISBLANK(PedBerTPN!$E$9),"",PedBerTPN!$E$9)</f>
        <v>0</v>
      </c>
      <c r="C1557" s="313">
        <v>0</v>
      </c>
    </row>
    <row r="1558" spans="1:3" x14ac:dyDescent="0.2">
      <c r="A1558" s="311" t="s">
        <v>3294</v>
      </c>
      <c r="B1558" t="b">
        <f>IF(ISBLANK(PedBerTPN!$C$8),"",PedBerTPN!$C$8)</f>
        <v>0</v>
      </c>
      <c r="C1558" t="b">
        <v>0</v>
      </c>
    </row>
    <row r="1559" spans="1:3" x14ac:dyDescent="0.2">
      <c r="A1559" s="311" t="s">
        <v>3295</v>
      </c>
      <c r="B1559" t="b">
        <f>IF(ISBLANK(PedBerTPN!$C$22),"",PedBerTPN!$C$22)</f>
        <v>0</v>
      </c>
      <c r="C1559" t="b">
        <v>0</v>
      </c>
    </row>
    <row r="1560" spans="1:3" x14ac:dyDescent="0.2">
      <c r="A1560" s="311" t="s">
        <v>3296</v>
      </c>
      <c r="B1560">
        <f>IF(ISBLANK(PedBerTPN!$E$8),"",PedBerTPN!$E$8)</f>
        <v>0</v>
      </c>
      <c r="C1560" s="313">
        <v>0</v>
      </c>
    </row>
    <row r="1561" spans="1:3" x14ac:dyDescent="0.2">
      <c r="A1561" s="311" t="s">
        <v>3297</v>
      </c>
      <c r="B1561">
        <f>IF(ISBLANK(PedBerTPN!$E$22),"",PedBerTPN!$E$22)</f>
        <v>0</v>
      </c>
      <c r="C1561" s="313">
        <v>0</v>
      </c>
    </row>
    <row r="1562" spans="1:3" x14ac:dyDescent="0.2">
      <c r="A1562" s="311" t="s">
        <v>3298</v>
      </c>
      <c r="B1562">
        <f>IF(ISBLANK(PedBerTPN!$B$4),"",PedBerTPN!$B$4)</f>
        <v>1</v>
      </c>
      <c r="C1562">
        <v>1</v>
      </c>
    </row>
    <row r="1563" spans="1:3" x14ac:dyDescent="0.2">
      <c r="A1563" s="311" t="s">
        <v>3299</v>
      </c>
      <c r="B1563" t="b">
        <f>IF(ISBLANK(PedBerTPN!$C$11),"",PedBerTPN!$C$11)</f>
        <v>0</v>
      </c>
      <c r="C1563" t="b">
        <v>0</v>
      </c>
    </row>
    <row r="1564" spans="1:3" x14ac:dyDescent="0.2">
      <c r="A1564" s="311" t="s">
        <v>3300</v>
      </c>
      <c r="B1564">
        <f>IF(ISBLANK(PedBerTPN!$E$11),"",PedBerTPN!$E$11)</f>
        <v>0</v>
      </c>
      <c r="C1564" s="313">
        <v>0</v>
      </c>
    </row>
    <row r="1565" spans="1:3" x14ac:dyDescent="0.2">
      <c r="A1565" s="311" t="s">
        <v>3301</v>
      </c>
      <c r="B1565">
        <f>IF(ISBLANK(PedBerTPN!$D$12),"",PedBerTPN!$D$12)</f>
        <v>0</v>
      </c>
      <c r="C1565" s="313">
        <v>0</v>
      </c>
    </row>
    <row r="1566" spans="1:3" x14ac:dyDescent="0.2">
      <c r="A1566" s="311" t="s">
        <v>3302</v>
      </c>
      <c r="B1566" t="b">
        <f>IF(ISBLANK(PedBerTPN!$C$10),"",PedBerTPN!$C$10)</f>
        <v>0</v>
      </c>
      <c r="C1566" t="b">
        <v>0</v>
      </c>
    </row>
    <row r="1567" spans="1:3" x14ac:dyDescent="0.2">
      <c r="A1567" s="311" t="s">
        <v>3303</v>
      </c>
      <c r="B1567">
        <f>IF(ISBLANK(PedBerTPN!$E$10),"",PedBerTPN!$E$10)</f>
        <v>0</v>
      </c>
      <c r="C1567" s="313">
        <v>0</v>
      </c>
    </row>
    <row r="1568" spans="1:3" x14ac:dyDescent="0.2">
      <c r="A1568" s="311" t="s">
        <v>3304</v>
      </c>
      <c r="B1568" t="b">
        <f>IF(ISBLANK(PedBerTPN!$C$7),"",PedBerTPN!$C$7)</f>
        <v>0</v>
      </c>
      <c r="C1568" t="b">
        <v>0</v>
      </c>
    </row>
    <row r="1569" spans="1:3" x14ac:dyDescent="0.2">
      <c r="A1569" s="311" t="s">
        <v>3305</v>
      </c>
      <c r="B1569" t="b">
        <f>IF(ISBLANK(PedBerTPN!$C$21),"",PedBerTPN!$C$21)</f>
        <v>0</v>
      </c>
      <c r="C1569" s="311" t="b">
        <v>0</v>
      </c>
    </row>
    <row r="1570" spans="1:3" x14ac:dyDescent="0.2">
      <c r="A1570" s="311" t="s">
        <v>3306</v>
      </c>
      <c r="B1570">
        <f>IF(ISBLANK(PedBerTPN!$E$7),"",PedBerTPN!$E$7)</f>
        <v>0</v>
      </c>
      <c r="C1570" s="313">
        <v>0</v>
      </c>
    </row>
    <row r="1571" spans="1:3" x14ac:dyDescent="0.2">
      <c r="A1571" s="311" t="s">
        <v>3307</v>
      </c>
      <c r="B1571">
        <f>IF(ISBLANK(PedBerTPN!$E$21),"",PedBerTPN!$E$21)</f>
        <v>0</v>
      </c>
      <c r="C1571" s="313">
        <v>0</v>
      </c>
    </row>
    <row r="1572" spans="1:3" x14ac:dyDescent="0.2">
      <c r="A1572" s="311" t="s">
        <v>3308</v>
      </c>
      <c r="B1572">
        <f>IF(ISBLANK(GlobBerOpm!$B$3),"",GlobBerOpm!$B$3)</f>
        <v>0</v>
      </c>
      <c r="C1572" s="313">
        <v>0</v>
      </c>
    </row>
    <row r="1573" spans="1:3" x14ac:dyDescent="0.2">
      <c r="A1573" s="311" t="s">
        <v>3309</v>
      </c>
      <c r="B1573">
        <f>IF(ISBLANK(PedBerTPN!$E$5),"",PedBerTPN!$E$5)</f>
        <v>0</v>
      </c>
      <c r="C1573" s="313">
        <v>0</v>
      </c>
    </row>
    <row r="1574" spans="1:3" x14ac:dyDescent="0.2">
      <c r="A1574" s="311" t="s">
        <v>3310</v>
      </c>
      <c r="B1574">
        <f>IF(ISBLANK(PedBerTPN!$C$16),"",PedBerTPN!$C$16)</f>
        <v>0</v>
      </c>
      <c r="C1574" s="313">
        <v>0</v>
      </c>
    </row>
    <row r="1575" spans="1:3" x14ac:dyDescent="0.2">
      <c r="A1575" s="311" t="s">
        <v>3311</v>
      </c>
      <c r="B1575" t="b">
        <f>IF(ISBLANK(PedBerTPN!$C$15),"",PedBerTPN!$C$15)</f>
        <v>0</v>
      </c>
      <c r="C1575" t="b">
        <v>0</v>
      </c>
    </row>
    <row r="1576" spans="1:3" x14ac:dyDescent="0.2">
      <c r="A1576" s="311" t="s">
        <v>3312</v>
      </c>
      <c r="B1576">
        <f>IF(ISBLANK(PedBerTPN!$E$15),"",PedBerTPN!$E$15)</f>
        <v>1</v>
      </c>
      <c r="C1576">
        <v>1</v>
      </c>
    </row>
    <row r="1577" spans="1:3" x14ac:dyDescent="0.2">
      <c r="A1577" s="311" t="s">
        <v>3313</v>
      </c>
      <c r="B1577">
        <f>IF(ISBLANK(PedBerTPN!$B$6),"",PedBerTPN!$B$6)</f>
        <v>1</v>
      </c>
      <c r="C1577">
        <v>1</v>
      </c>
    </row>
    <row r="1578" spans="1:3" x14ac:dyDescent="0.2">
      <c r="A1578" s="311" t="s">
        <v>3314</v>
      </c>
      <c r="B1578">
        <f>IF(ISBLANK(PedBerTPN!$D$3),"",PedBerTPN!$D$3)</f>
        <v>0</v>
      </c>
      <c r="C1578" s="313">
        <v>0</v>
      </c>
    </row>
    <row r="1579" spans="1:3" x14ac:dyDescent="0.2">
      <c r="A1579" s="311" t="s">
        <v>3315</v>
      </c>
      <c r="B1579">
        <f>IF(ISBLANK(PedBerTPN!$B$20),"",PedBerTPN!$B$20)</f>
        <v>1</v>
      </c>
      <c r="C1579">
        <v>1</v>
      </c>
    </row>
    <row r="1580" spans="1:3" x14ac:dyDescent="0.2">
      <c r="A1580" s="311" t="s">
        <v>3316</v>
      </c>
      <c r="B1580">
        <f>IF(ISBLANK(PedBerTPN!$D$19),"",PedBerTPN!$D$19)</f>
        <v>0</v>
      </c>
      <c r="C1580" s="313">
        <v>0</v>
      </c>
    </row>
    <row r="1581" spans="1:3" x14ac:dyDescent="0.2">
      <c r="A1581" s="311" t="s">
        <v>3317</v>
      </c>
      <c r="B1581" t="b">
        <f>IF(ISBLANK(PedBerTPN!$C$14),"",PedBerTPN!$C$14)</f>
        <v>0</v>
      </c>
      <c r="C1581" t="b">
        <v>0</v>
      </c>
    </row>
    <row r="1582" spans="1:3" x14ac:dyDescent="0.2">
      <c r="A1582" s="311" t="s">
        <v>3318</v>
      </c>
      <c r="B1582">
        <f>IF(ISBLANK(PedBerTPN!$E$14),"",PedBerTPN!$E$14)</f>
        <v>1</v>
      </c>
      <c r="C1582">
        <v>1</v>
      </c>
    </row>
    <row r="1583" spans="1:3" x14ac:dyDescent="0.2">
      <c r="A1583" s="311" t="s">
        <v>3319</v>
      </c>
      <c r="B1583">
        <f>IF(ISBLANK(PedBerTPN!$E$4),"",PedBerTPN!$E$4)</f>
        <v>0</v>
      </c>
      <c r="C1583" s="313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8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4"/>
  <sheetViews>
    <sheetView workbookViewId="0">
      <selection activeCell="B10" sqref="B10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52" t="s">
        <v>370</v>
      </c>
    </row>
    <row r="2" spans="1:7" x14ac:dyDescent="0.2">
      <c r="A2" s="312" t="s">
        <v>489</v>
      </c>
    </row>
    <row r="3" spans="1:7" s="311" customFormat="1" x14ac:dyDescent="0.2">
      <c r="A3" t="s">
        <v>206</v>
      </c>
      <c r="B3"/>
    </row>
    <row r="4" spans="1:7" s="311" customFormat="1" x14ac:dyDescent="0.2">
      <c r="A4" t="s">
        <v>207</v>
      </c>
      <c r="B4"/>
    </row>
    <row r="5" spans="1:7" x14ac:dyDescent="0.2">
      <c r="A5" s="312" t="s">
        <v>3417</v>
      </c>
      <c r="B5" s="24">
        <v>1462</v>
      </c>
      <c r="C5" s="4"/>
      <c r="D5" s="4"/>
      <c r="E5" s="4"/>
      <c r="G5" s="4"/>
    </row>
    <row r="6" spans="1:7" x14ac:dyDescent="0.2">
      <c r="A6" t="s">
        <v>267</v>
      </c>
      <c r="B6" s="122">
        <v>0</v>
      </c>
      <c r="C6" s="4"/>
      <c r="D6" s="4"/>
      <c r="E6" s="4"/>
      <c r="G6" s="4"/>
    </row>
    <row r="7" spans="1:7" x14ac:dyDescent="0.2">
      <c r="A7" t="s">
        <v>128</v>
      </c>
      <c r="B7">
        <v>0</v>
      </c>
    </row>
    <row r="8" spans="1:7" x14ac:dyDescent="0.2">
      <c r="A8" s="312" t="s">
        <v>3416</v>
      </c>
      <c r="B8">
        <v>0</v>
      </c>
    </row>
    <row r="9" spans="1:7" x14ac:dyDescent="0.2">
      <c r="A9" s="312" t="s">
        <v>3415</v>
      </c>
      <c r="B9" s="17">
        <v>1462</v>
      </c>
      <c r="E9" s="128"/>
    </row>
    <row r="10" spans="1:7" s="311" customFormat="1" x14ac:dyDescent="0.2">
      <c r="A10" s="312" t="s">
        <v>5090</v>
      </c>
      <c r="B10" s="17">
        <v>0</v>
      </c>
      <c r="E10" s="128"/>
    </row>
    <row r="11" spans="1:7" s="311" customFormat="1" x14ac:dyDescent="0.2">
      <c r="A11" s="312" t="s">
        <v>5091</v>
      </c>
      <c r="B11" s="17">
        <v>0</v>
      </c>
      <c r="E11" s="128"/>
    </row>
    <row r="12" spans="1:7" x14ac:dyDescent="0.2">
      <c r="E12" s="151"/>
    </row>
    <row r="13" spans="1:7" x14ac:dyDescent="0.2">
      <c r="A13" t="s">
        <v>205</v>
      </c>
      <c r="B13" s="24">
        <f ca="1" xml:space="preserve"> TODAY()</f>
        <v>42751</v>
      </c>
    </row>
    <row r="14" spans="1:7" x14ac:dyDescent="0.2">
      <c r="A14" t="s">
        <v>437</v>
      </c>
      <c r="B14" s="128"/>
      <c r="E14" s="151"/>
    </row>
    <row r="15" spans="1:7" s="311" customFormat="1" x14ac:dyDescent="0.2">
      <c r="A15" s="312" t="s">
        <v>4123</v>
      </c>
      <c r="B15" s="128" t="str">
        <f>IF(IsEmptyDate(_Pat_OpnDatum),"",DateToString(_Pat_OpnDatum)&amp;" "&amp;B22)</f>
        <v/>
      </c>
      <c r="E15" s="151"/>
    </row>
    <row r="16" spans="1:7" s="311" customFormat="1" x14ac:dyDescent="0.2">
      <c r="A16" s="312" t="s">
        <v>3417</v>
      </c>
      <c r="B16" s="128" t="str">
        <f ca="1">IF(NOW()-__4_GebDatum&gt;100,"",TEXT(__4_GebDatum,"dd-mmm-yy"))</f>
        <v/>
      </c>
      <c r="E16" s="151"/>
    </row>
    <row r="17" spans="1:5" s="311" customFormat="1" x14ac:dyDescent="0.2">
      <c r="A17" s="312" t="s">
        <v>4124</v>
      </c>
      <c r="B17" s="17" t="str">
        <f>IF(__0_PatNum&gt;0,__0_PatNum,"")</f>
        <v/>
      </c>
      <c r="E17" s="151"/>
    </row>
    <row r="18" spans="1:5" x14ac:dyDescent="0.2">
      <c r="A18" s="312" t="s">
        <v>4119</v>
      </c>
      <c r="B18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9" spans="1:5" s="311" customFormat="1" x14ac:dyDescent="0.2">
      <c r="A19" s="312" t="s">
        <v>4120</v>
      </c>
      <c r="B19" s="311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20" spans="1:5" s="311" customFormat="1" x14ac:dyDescent="0.2">
      <c r="A20" s="312" t="s">
        <v>3414</v>
      </c>
      <c r="B20" s="311" t="str">
        <f ca="1">IF(Var_AfspraakDatum-__4_GebDatum&lt;=28,B19,B18)</f>
        <v/>
      </c>
    </row>
    <row r="21" spans="1:5" x14ac:dyDescent="0.2">
      <c r="A21" s="312" t="s">
        <v>4118</v>
      </c>
      <c r="B21" t="str">
        <f>IF(__2_AchterNaam="","",__2_AchterNaam&amp;", "&amp;__3_VoorNaam)</f>
        <v/>
      </c>
    </row>
    <row r="22" spans="1:5" x14ac:dyDescent="0.2">
      <c r="A22" s="312" t="s">
        <v>4121</v>
      </c>
      <c r="B22" t="str">
        <f ca="1">IF(AND(__4_GebDatum&gt;0,_Pat_OpnDatum&gt;0),"(dag "&amp;Var_AfspraakDatum-_Pat_OpnDatum+1&amp;")", "")</f>
        <v>(dag 41290)</v>
      </c>
    </row>
    <row r="23" spans="1:5" x14ac:dyDescent="0.2">
      <c r="A23" s="312" t="s">
        <v>267</v>
      </c>
      <c r="B23" t="str">
        <f>IF(_Pat_Gewicht&gt;0,"Gewicht: "&amp;_Pat_Gewicht/10&amp;" kg", "Gewicht:")</f>
        <v>Gewicht:</v>
      </c>
    </row>
    <row r="24" spans="1:5" x14ac:dyDescent="0.2">
      <c r="A24" s="312" t="s">
        <v>4122</v>
      </c>
      <c r="B24" t="str">
        <f>IF(_Pat_Lengte&gt;0,"Lengte: "&amp;_Pat_Lengte&amp;" cm","Lengte:")</f>
        <v>Lengte:</v>
      </c>
    </row>
    <row r="25" spans="1:5" x14ac:dyDescent="0.2">
      <c r="A25" s="312" t="s">
        <v>52</v>
      </c>
      <c r="B25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9" spans="1:5" x14ac:dyDescent="0.2">
      <c r="B29" s="128"/>
    </row>
    <row r="30" spans="1:5" x14ac:dyDescent="0.2">
      <c r="B30" s="128"/>
    </row>
    <row r="34" spans="2:2" x14ac:dyDescent="0.2">
      <c r="B34" s="12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tabSelected="1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612" customWidth="1"/>
    <col min="2" max="2" width="6" style="612" customWidth="1"/>
    <col min="3" max="3" width="7.5703125" style="612" customWidth="1"/>
    <col min="4" max="4" width="4.28515625" style="612" customWidth="1"/>
    <col min="5" max="5" width="27" style="612" customWidth="1"/>
    <col min="6" max="6" width="13.42578125" style="612" customWidth="1"/>
    <col min="7" max="7" width="11.140625" style="612" customWidth="1"/>
    <col min="8" max="8" width="16.7109375" style="612" customWidth="1"/>
    <col min="9" max="9" width="16.5703125" style="612" customWidth="1"/>
    <col min="10" max="10" width="20.140625" style="612" customWidth="1"/>
    <col min="11" max="11" width="13.28515625" style="612" customWidth="1"/>
    <col min="12" max="12" width="9.140625" style="612"/>
    <col min="13" max="13" width="12.7109375" style="612" customWidth="1"/>
    <col min="14" max="15" width="9.140625" style="612"/>
    <col min="16" max="17" width="9.42578125" style="612" bestFit="1" customWidth="1"/>
    <col min="18" max="16384" width="9.140625" style="612"/>
  </cols>
  <sheetData>
    <row r="1" spans="1:84" s="608" customFormat="1" ht="17.25" customHeight="1" x14ac:dyDescent="0.2">
      <c r="A1" s="573"/>
      <c r="B1" s="871"/>
      <c r="C1" s="871"/>
      <c r="D1" s="871"/>
      <c r="E1" s="871"/>
      <c r="F1" s="871"/>
      <c r="G1" s="871"/>
      <c r="H1" s="871"/>
      <c r="I1" s="871"/>
      <c r="J1" s="871"/>
      <c r="K1" s="871"/>
      <c r="L1" s="871"/>
      <c r="M1" s="871"/>
      <c r="N1" s="871"/>
      <c r="P1" s="609"/>
      <c r="Q1" s="609"/>
      <c r="R1" s="609"/>
    </row>
    <row r="2" spans="1:84" s="608" customFormat="1" ht="17.25" customHeight="1" x14ac:dyDescent="0.2">
      <c r="B2" s="641"/>
      <c r="C2" s="641"/>
      <c r="D2" s="641"/>
      <c r="E2" s="596" t="s">
        <v>297</v>
      </c>
      <c r="F2" s="597">
        <f ca="1">Var_AfspraakDatum</f>
        <v>42751</v>
      </c>
      <c r="G2" s="598"/>
      <c r="H2" s="596" t="s">
        <v>4319</v>
      </c>
      <c r="I2" s="599" t="str">
        <f>PatDetails!B15</f>
        <v/>
      </c>
      <c r="J2" s="600" t="str">
        <f>PatDetails!B23</f>
        <v>Gewicht:</v>
      </c>
      <c r="K2" s="641"/>
      <c r="L2" s="596" t="s">
        <v>490</v>
      </c>
      <c r="M2" s="596">
        <f>__1_Bed</f>
        <v>0</v>
      </c>
      <c r="N2" s="641"/>
      <c r="P2" s="609"/>
      <c r="Q2" s="609"/>
      <c r="R2" s="609"/>
    </row>
    <row r="3" spans="1:84" s="608" customFormat="1" ht="17.25" customHeight="1" x14ac:dyDescent="0.2">
      <c r="B3" s="641"/>
      <c r="C3" s="641"/>
      <c r="D3" s="564"/>
      <c r="E3" s="596" t="s">
        <v>28</v>
      </c>
      <c r="F3" s="601" t="str">
        <f>PatDetails!B21</f>
        <v/>
      </c>
      <c r="G3" s="601"/>
      <c r="H3" s="596" t="s">
        <v>4320</v>
      </c>
      <c r="I3" s="599" t="str">
        <f ca="1">PatDetails!B16</f>
        <v/>
      </c>
      <c r="J3" s="600" t="str">
        <f>PatDetails!B24</f>
        <v>Lengte:</v>
      </c>
      <c r="K3" s="641"/>
      <c r="L3" s="596"/>
      <c r="M3" s="596"/>
      <c r="N3" s="641"/>
      <c r="P3" s="609"/>
      <c r="Q3" s="609"/>
      <c r="R3" s="609"/>
    </row>
    <row r="4" spans="1:84" s="608" customFormat="1" ht="17.25" customHeight="1" x14ac:dyDescent="0.2">
      <c r="B4" s="641"/>
      <c r="C4" s="604"/>
      <c r="D4" s="604"/>
      <c r="E4" s="602" t="s">
        <v>4314</v>
      </c>
      <c r="F4" s="603" t="str">
        <f>PatDetails!B17</f>
        <v/>
      </c>
      <c r="G4" s="598"/>
      <c r="H4" s="596" t="s">
        <v>268</v>
      </c>
      <c r="I4" s="604" t="str">
        <f ca="1">PatDetails!B20</f>
        <v/>
      </c>
      <c r="J4" s="605" t="str">
        <f>PatDetails!B25</f>
        <v>Lichamelijk oppervlak:</v>
      </c>
      <c r="K4" s="641"/>
      <c r="L4" s="596"/>
      <c r="M4" s="596"/>
      <c r="N4" s="604"/>
      <c r="P4" s="610"/>
      <c r="Q4" s="610"/>
      <c r="R4" s="610"/>
      <c r="U4" s="611"/>
      <c r="V4" s="611"/>
      <c r="W4" s="611"/>
      <c r="X4" s="611"/>
      <c r="Y4" s="611"/>
      <c r="Z4" s="611"/>
      <c r="AA4" s="611"/>
    </row>
    <row r="5" spans="1:84" s="608" customFormat="1" ht="8.1" customHeight="1" x14ac:dyDescent="0.2">
      <c r="B5" s="641"/>
      <c r="C5" s="604"/>
      <c r="D5" s="604"/>
      <c r="E5" s="596"/>
      <c r="F5" s="596"/>
      <c r="G5" s="598"/>
      <c r="H5" s="596"/>
      <c r="I5" s="604"/>
      <c r="J5" s="605"/>
      <c r="K5" s="596"/>
      <c r="L5" s="596"/>
      <c r="M5" s="596"/>
      <c r="N5" s="604"/>
      <c r="P5" s="610"/>
      <c r="Q5" s="610"/>
      <c r="R5" s="610"/>
      <c r="U5" s="611"/>
      <c r="V5" s="611"/>
      <c r="W5" s="611"/>
      <c r="X5" s="611"/>
      <c r="Y5" s="611"/>
      <c r="Z5" s="611"/>
      <c r="AA5" s="611"/>
    </row>
    <row r="6" spans="1:84" ht="8.1" customHeight="1" x14ac:dyDescent="0.2">
      <c r="C6" s="613"/>
      <c r="D6" s="614"/>
      <c r="E6" s="615"/>
      <c r="F6" s="616"/>
      <c r="G6" s="617"/>
      <c r="H6" s="615"/>
      <c r="I6" s="618"/>
      <c r="J6" s="615"/>
      <c r="K6" s="615"/>
      <c r="L6" s="615"/>
      <c r="M6" s="615"/>
      <c r="N6" s="615"/>
      <c r="O6" s="614"/>
      <c r="P6" s="610"/>
      <c r="Q6" s="610"/>
      <c r="R6" s="610"/>
      <c r="S6" s="614"/>
      <c r="T6" s="614"/>
      <c r="U6" s="614"/>
      <c r="V6" s="614"/>
      <c r="W6" s="614"/>
      <c r="X6" s="614"/>
      <c r="Y6" s="614"/>
      <c r="Z6" s="614"/>
      <c r="AA6" s="614"/>
      <c r="AB6" s="619"/>
      <c r="AC6" s="619"/>
      <c r="AD6" s="620"/>
      <c r="AE6" s="620"/>
      <c r="AF6" s="619"/>
      <c r="AG6" s="619"/>
      <c r="AH6" s="619"/>
      <c r="AI6" s="619"/>
      <c r="AJ6" s="619"/>
      <c r="AK6" s="619"/>
      <c r="AL6" s="619"/>
      <c r="AM6" s="619"/>
      <c r="AN6" s="619"/>
      <c r="AO6" s="619"/>
      <c r="AP6" s="619"/>
      <c r="AQ6" s="619"/>
      <c r="AR6" s="619"/>
      <c r="AS6" s="619"/>
      <c r="AT6" s="619"/>
      <c r="AU6" s="619"/>
      <c r="AV6" s="619"/>
      <c r="AW6" s="619"/>
      <c r="AX6" s="619"/>
      <c r="AY6" s="619"/>
      <c r="AZ6" s="619"/>
      <c r="BA6" s="619"/>
      <c r="BB6" s="619"/>
      <c r="BC6" s="619"/>
      <c r="BD6" s="619"/>
      <c r="BE6" s="619"/>
      <c r="BF6" s="619"/>
      <c r="BG6" s="619"/>
      <c r="BH6" s="619"/>
      <c r="BI6" s="619"/>
      <c r="BJ6" s="619"/>
      <c r="BK6" s="619"/>
      <c r="BL6" s="619"/>
      <c r="BM6" s="619"/>
      <c r="BN6" s="619"/>
      <c r="BO6" s="619"/>
      <c r="BP6" s="619"/>
      <c r="BQ6" s="619"/>
      <c r="BR6" s="619"/>
      <c r="BS6" s="619"/>
      <c r="BT6" s="619"/>
      <c r="BU6" s="619"/>
      <c r="BV6" s="619"/>
      <c r="BW6" s="619"/>
      <c r="BX6" s="619"/>
      <c r="BY6" s="619"/>
      <c r="BZ6" s="619"/>
      <c r="CA6" s="619"/>
      <c r="CB6" s="619"/>
      <c r="CC6" s="619"/>
      <c r="CD6" s="619"/>
      <c r="CE6" s="619"/>
      <c r="CF6" s="619"/>
    </row>
    <row r="7" spans="1:84" ht="20.100000000000001" customHeight="1" x14ac:dyDescent="0.2">
      <c r="B7" s="636" t="s">
        <v>4115</v>
      </c>
      <c r="C7" s="636"/>
      <c r="D7" s="636"/>
      <c r="E7" s="637" t="s">
        <v>324</v>
      </c>
      <c r="F7" s="636" t="s">
        <v>199</v>
      </c>
      <c r="G7" s="638" t="s">
        <v>304</v>
      </c>
      <c r="H7" s="638" t="s">
        <v>150</v>
      </c>
      <c r="I7" s="638" t="s">
        <v>51</v>
      </c>
      <c r="J7" s="638" t="s">
        <v>325</v>
      </c>
      <c r="K7" s="638" t="s">
        <v>4109</v>
      </c>
      <c r="L7" s="638" t="s">
        <v>304</v>
      </c>
      <c r="M7" s="638" t="s">
        <v>321</v>
      </c>
      <c r="N7" s="639"/>
      <c r="O7" s="621"/>
      <c r="P7" s="610"/>
      <c r="Q7" s="610"/>
      <c r="R7" s="610"/>
      <c r="S7" s="621"/>
      <c r="T7" s="621"/>
      <c r="U7" s="621"/>
      <c r="V7" s="610"/>
      <c r="W7" s="610"/>
      <c r="X7" s="610"/>
      <c r="Y7" s="610"/>
      <c r="Z7" s="610"/>
      <c r="AA7" s="610"/>
      <c r="AC7" s="619"/>
      <c r="AH7" s="619"/>
      <c r="AI7" s="619"/>
      <c r="AJ7" s="619"/>
      <c r="AK7" s="619"/>
      <c r="AL7" s="619"/>
      <c r="AM7" s="619"/>
      <c r="AN7" s="619"/>
      <c r="AO7" s="619"/>
      <c r="AP7" s="619"/>
      <c r="AQ7" s="619"/>
      <c r="AR7" s="619"/>
      <c r="AS7" s="619"/>
      <c r="AT7" s="619"/>
      <c r="AU7" s="619"/>
      <c r="AV7" s="619"/>
      <c r="AW7" s="619"/>
      <c r="AX7" s="619"/>
      <c r="AY7" s="619"/>
      <c r="AZ7" s="619"/>
      <c r="BA7" s="619"/>
      <c r="BB7" s="619"/>
      <c r="BC7" s="619"/>
      <c r="BD7" s="619"/>
      <c r="BE7" s="619"/>
      <c r="BF7" s="619"/>
      <c r="BG7" s="619"/>
      <c r="BH7" s="619"/>
      <c r="BI7" s="619"/>
      <c r="BJ7" s="619"/>
      <c r="BK7" s="619"/>
      <c r="BL7" s="619"/>
      <c r="BM7" s="619"/>
      <c r="BN7" s="619"/>
      <c r="BO7" s="619"/>
      <c r="BP7" s="619"/>
      <c r="BQ7" s="619"/>
      <c r="BR7" s="619"/>
      <c r="BS7" s="619"/>
      <c r="BT7" s="619"/>
      <c r="BU7" s="619"/>
      <c r="BV7" s="619"/>
      <c r="BW7" s="619"/>
      <c r="BX7" s="619"/>
      <c r="BY7" s="619"/>
      <c r="BZ7" s="619"/>
      <c r="CA7" s="619"/>
      <c r="CB7" s="619"/>
      <c r="CC7" s="619"/>
      <c r="CD7" s="619"/>
      <c r="CE7" s="619"/>
      <c r="CF7" s="619"/>
    </row>
    <row r="8" spans="1:84" ht="8.1" customHeight="1" x14ac:dyDescent="0.2">
      <c r="C8" s="622"/>
      <c r="D8" s="614"/>
      <c r="E8" s="614"/>
      <c r="F8" s="614"/>
      <c r="G8" s="614"/>
      <c r="H8" s="614"/>
      <c r="I8" s="614"/>
      <c r="J8" s="614"/>
      <c r="K8" s="614"/>
      <c r="L8" s="614"/>
      <c r="M8" s="614"/>
      <c r="N8" s="614"/>
      <c r="O8" s="614"/>
      <c r="P8" s="609"/>
      <c r="Q8" s="609"/>
      <c r="R8" s="609"/>
      <c r="S8" s="614"/>
      <c r="T8" s="614"/>
      <c r="U8" s="614"/>
      <c r="V8" s="614"/>
      <c r="W8" s="614"/>
      <c r="X8" s="614"/>
      <c r="Y8" s="614"/>
      <c r="Z8" s="614"/>
      <c r="AA8" s="614"/>
      <c r="AC8" s="619"/>
      <c r="AH8" s="619"/>
      <c r="AI8" s="619"/>
      <c r="AJ8" s="619"/>
      <c r="AK8" s="619"/>
      <c r="AL8" s="619"/>
      <c r="AM8" s="619"/>
      <c r="AN8" s="619"/>
      <c r="AO8" s="619"/>
      <c r="AP8" s="619"/>
      <c r="AQ8" s="619"/>
      <c r="AR8" s="619"/>
      <c r="AS8" s="619"/>
      <c r="AT8" s="619"/>
      <c r="AU8" s="619"/>
      <c r="AV8" s="619"/>
      <c r="AW8" s="619"/>
      <c r="AX8" s="619"/>
      <c r="AY8" s="619"/>
      <c r="AZ8" s="619"/>
      <c r="BA8" s="619"/>
      <c r="BB8" s="619"/>
      <c r="BC8" s="619"/>
      <c r="BD8" s="619"/>
      <c r="BE8" s="619"/>
      <c r="BF8" s="619"/>
      <c r="BG8" s="619"/>
      <c r="BH8" s="619"/>
      <c r="BI8" s="619"/>
      <c r="BJ8" s="619"/>
      <c r="BK8" s="619"/>
      <c r="BL8" s="619"/>
      <c r="BM8" s="619"/>
      <c r="BN8" s="619"/>
      <c r="BO8" s="619"/>
      <c r="BP8" s="619"/>
      <c r="BQ8" s="619"/>
      <c r="BR8" s="619"/>
      <c r="BS8" s="619"/>
      <c r="BT8" s="619"/>
      <c r="BU8" s="619"/>
      <c r="BV8" s="619"/>
      <c r="BW8" s="619"/>
      <c r="BX8" s="619"/>
      <c r="BY8" s="619"/>
      <c r="BZ8" s="619"/>
      <c r="CA8" s="619"/>
      <c r="CB8" s="619"/>
      <c r="CC8" s="619"/>
      <c r="CD8" s="619"/>
      <c r="CE8" s="619"/>
      <c r="CF8" s="619"/>
    </row>
    <row r="9" spans="1:84" ht="20.100000000000001" customHeight="1" thickBot="1" x14ac:dyDescent="0.25">
      <c r="B9" s="623" t="str">
        <f>PedBerMedIV!Z5</f>
        <v/>
      </c>
      <c r="C9" s="623" t="str">
        <f>PedBerMedIV!AA5</f>
        <v/>
      </c>
      <c r="D9" s="592">
        <v>1</v>
      </c>
      <c r="E9" s="574">
        <f>PedBerMedIV!C5</f>
        <v>1</v>
      </c>
      <c r="F9" s="575" t="str">
        <f>PedBerMedIV!AC5</f>
        <v/>
      </c>
      <c r="G9" s="575" t="str">
        <f>PedBerMedIV!AD5</f>
        <v/>
      </c>
      <c r="H9" s="576"/>
      <c r="I9" s="576" t="str">
        <f>PedBerMedIV!AF5</f>
        <v/>
      </c>
      <c r="J9" s="576" t="str">
        <f>PedBerMedIV!AG5</f>
        <v/>
      </c>
      <c r="K9" s="576" t="str">
        <f>PedBerMedIV!AH5</f>
        <v/>
      </c>
      <c r="L9" s="576" t="str">
        <f>PedBerMedIV!AI5</f>
        <v/>
      </c>
      <c r="M9" s="576" t="str">
        <f>PedBerMedIV!AJ5</f>
        <v/>
      </c>
      <c r="N9" s="577"/>
      <c r="O9" s="614"/>
      <c r="P9" s="610"/>
      <c r="Q9" s="610"/>
      <c r="R9" s="610"/>
      <c r="S9" s="614"/>
      <c r="T9" s="614"/>
      <c r="U9" s="614"/>
      <c r="V9" s="614"/>
      <c r="W9" s="614"/>
      <c r="X9" s="614"/>
      <c r="Y9" s="614"/>
      <c r="Z9" s="614"/>
      <c r="AA9" s="614"/>
      <c r="AC9" s="619"/>
      <c r="AD9" s="612">
        <f>IF(E9&lt;&gt;0,INDEX(Tbl_Ped_MedContIV,PedBerMedIV!$C5,6)*(PedBerMedIV!G5/10))</f>
        <v>0</v>
      </c>
      <c r="AE9" s="612">
        <f>IF(AD9&gt;=10,0,IF(AD9&gt;=1,1,IF(AD9&gt;=0,2,IF(AD9&gt;=0.1,3,IF(AD9&gt;=0.01,4,5)))))</f>
        <v>2</v>
      </c>
      <c r="AF9" s="612">
        <f>ROUND(AD9,AE9)</f>
        <v>0</v>
      </c>
      <c r="AH9" s="619"/>
      <c r="AI9" s="619"/>
      <c r="AJ9" s="619"/>
      <c r="AK9" s="619"/>
      <c r="AL9" s="619"/>
      <c r="AM9" s="619"/>
      <c r="AN9" s="619"/>
      <c r="AO9" s="619"/>
      <c r="AP9" s="619"/>
      <c r="AQ9" s="619"/>
      <c r="AR9" s="619"/>
      <c r="AS9" s="619"/>
      <c r="AT9" s="619"/>
      <c r="AU9" s="619"/>
      <c r="AV9" s="619"/>
      <c r="AW9" s="619"/>
      <c r="AX9" s="619"/>
      <c r="AY9" s="619"/>
      <c r="AZ9" s="619"/>
      <c r="BA9" s="619"/>
      <c r="BB9" s="619"/>
      <c r="BC9" s="619"/>
      <c r="BD9" s="619"/>
      <c r="BE9" s="619"/>
      <c r="BF9" s="619"/>
      <c r="BG9" s="619"/>
      <c r="BH9" s="619"/>
      <c r="BI9" s="619"/>
      <c r="BJ9" s="619"/>
      <c r="BK9" s="619"/>
      <c r="BL9" s="619"/>
      <c r="BM9" s="619"/>
      <c r="BN9" s="619"/>
      <c r="BO9" s="619"/>
      <c r="BP9" s="619"/>
      <c r="BQ9" s="619"/>
      <c r="BR9" s="619"/>
      <c r="BS9" s="619"/>
      <c r="BT9" s="619"/>
      <c r="BU9" s="619"/>
      <c r="BV9" s="619"/>
      <c r="BW9" s="619"/>
      <c r="BX9" s="619"/>
      <c r="BY9" s="619"/>
      <c r="BZ9" s="619"/>
      <c r="CA9" s="619"/>
      <c r="CB9" s="619"/>
      <c r="CC9" s="619"/>
      <c r="CD9" s="619"/>
      <c r="CE9" s="619"/>
      <c r="CF9" s="619"/>
    </row>
    <row r="10" spans="1:84" ht="20.100000000000001" customHeight="1" thickTop="1" thickBot="1" x14ac:dyDescent="0.25">
      <c r="B10" s="623" t="str">
        <f>PedBerMedIV!Z6</f>
        <v/>
      </c>
      <c r="C10" s="623" t="str">
        <f>PedBerMedIV!AA6</f>
        <v/>
      </c>
      <c r="D10" s="592">
        <v>2</v>
      </c>
      <c r="E10" s="578">
        <f>PedBerMedIV!C6</f>
        <v>1</v>
      </c>
      <c r="F10" s="579" t="str">
        <f>PedBerMedIV!AC6</f>
        <v/>
      </c>
      <c r="G10" s="579" t="str">
        <f>PedBerMedIV!AD6</f>
        <v/>
      </c>
      <c r="H10" s="580"/>
      <c r="I10" s="580" t="str">
        <f>PedBerMedIV!AF6</f>
        <v/>
      </c>
      <c r="J10" s="580" t="str">
        <f>PedBerMedIV!AG6</f>
        <v/>
      </c>
      <c r="K10" s="580" t="str">
        <f>PedBerMedIV!AH6</f>
        <v/>
      </c>
      <c r="L10" s="580" t="str">
        <f>PedBerMedIV!AI6</f>
        <v/>
      </c>
      <c r="M10" s="580" t="str">
        <f>PedBerMedIV!AJ6</f>
        <v/>
      </c>
      <c r="N10" s="581"/>
      <c r="O10" s="614"/>
      <c r="P10" s="609"/>
      <c r="Q10" s="609"/>
      <c r="R10" s="609"/>
      <c r="S10" s="614"/>
      <c r="T10" s="614"/>
      <c r="U10" s="614"/>
      <c r="V10" s="614"/>
      <c r="W10" s="614"/>
      <c r="X10" s="614"/>
      <c r="Y10" s="614"/>
      <c r="Z10" s="614"/>
      <c r="AA10" s="614"/>
      <c r="AC10" s="619"/>
      <c r="AD10" s="612">
        <f>IF(E10&lt;&gt;0,INDEX(Tbl_Ped_MedContIV,PedBerMedIV!$C6,6)*(PedBerMedIV!G6/10))</f>
        <v>0</v>
      </c>
      <c r="AE10" s="612">
        <f t="shared" ref="AE10:AE18" si="0">IF(AD10&gt;=10,0,IF(AD10&gt;=1,1,IF(AD10&gt;=0,2,IF(AD10&gt;=0.1,3,IF(AD10&gt;=0.01,4,5)))))</f>
        <v>2</v>
      </c>
      <c r="AF10" s="612">
        <f t="shared" ref="AF10:AF18" si="1">ROUND(AD10,AE10)</f>
        <v>0</v>
      </c>
      <c r="AH10" s="619"/>
      <c r="AI10" s="619"/>
      <c r="AJ10" s="619"/>
      <c r="AK10" s="619"/>
      <c r="AL10" s="619"/>
      <c r="AM10" s="619"/>
      <c r="AN10" s="619"/>
      <c r="AO10" s="619"/>
      <c r="AP10" s="619"/>
      <c r="AQ10" s="619"/>
      <c r="AR10" s="619"/>
      <c r="AS10" s="619"/>
      <c r="AT10" s="619"/>
      <c r="AU10" s="619"/>
      <c r="AV10" s="619"/>
      <c r="AW10" s="619"/>
      <c r="AX10" s="619"/>
      <c r="AY10" s="619"/>
      <c r="AZ10" s="619"/>
      <c r="BA10" s="619"/>
      <c r="BB10" s="619"/>
      <c r="BC10" s="619"/>
      <c r="BD10" s="619"/>
      <c r="BE10" s="619"/>
      <c r="BF10" s="619"/>
      <c r="BG10" s="619"/>
      <c r="BH10" s="619"/>
      <c r="BI10" s="619"/>
      <c r="BJ10" s="619"/>
      <c r="BK10" s="619"/>
      <c r="BL10" s="619"/>
      <c r="BM10" s="619"/>
      <c r="BN10" s="619"/>
      <c r="BO10" s="619"/>
      <c r="BP10" s="619"/>
      <c r="BQ10" s="619"/>
      <c r="BR10" s="619"/>
      <c r="BS10" s="619"/>
      <c r="BT10" s="619"/>
      <c r="BU10" s="619"/>
      <c r="BV10" s="619"/>
      <c r="BW10" s="619"/>
      <c r="BX10" s="619"/>
      <c r="BY10" s="619"/>
      <c r="BZ10" s="619"/>
      <c r="CA10" s="619"/>
      <c r="CB10" s="619"/>
      <c r="CC10" s="619"/>
      <c r="CD10" s="619"/>
      <c r="CE10" s="619"/>
      <c r="CF10" s="619"/>
    </row>
    <row r="11" spans="1:84" ht="20.100000000000001" customHeight="1" thickTop="1" thickBot="1" x14ac:dyDescent="0.25">
      <c r="B11" s="623" t="str">
        <f>PedBerMedIV!Z7</f>
        <v/>
      </c>
      <c r="C11" s="623" t="str">
        <f>PedBerMedIV!AA7</f>
        <v/>
      </c>
      <c r="D11" s="592">
        <v>3</v>
      </c>
      <c r="E11" s="578">
        <f>PedBerMedIV!C7</f>
        <v>1</v>
      </c>
      <c r="F11" s="579" t="str">
        <f>PedBerMedIV!AC7</f>
        <v/>
      </c>
      <c r="G11" s="579" t="str">
        <f>PedBerMedIV!AD7</f>
        <v/>
      </c>
      <c r="H11" s="580"/>
      <c r="I11" s="580" t="str">
        <f>PedBerMedIV!AF7</f>
        <v/>
      </c>
      <c r="J11" s="580" t="str">
        <f>PedBerMedIV!AG7</f>
        <v/>
      </c>
      <c r="K11" s="580" t="str">
        <f>PedBerMedIV!AH7</f>
        <v/>
      </c>
      <c r="L11" s="580" t="str">
        <f>PedBerMedIV!AI7</f>
        <v/>
      </c>
      <c r="M11" s="580" t="str">
        <f>PedBerMedIV!AJ7</f>
        <v/>
      </c>
      <c r="N11" s="581"/>
      <c r="O11" s="614"/>
      <c r="P11" s="609"/>
      <c r="Q11" s="609"/>
      <c r="R11" s="609"/>
      <c r="S11" s="614"/>
      <c r="T11" s="614"/>
      <c r="U11" s="614"/>
      <c r="V11" s="614"/>
      <c r="W11" s="614"/>
      <c r="X11" s="614"/>
      <c r="Y11" s="614"/>
      <c r="Z11" s="614"/>
      <c r="AA11" s="614"/>
      <c r="AC11" s="619"/>
      <c r="AD11" s="612">
        <f>IF(E11&lt;&gt;0,INDEX(Tbl_Ped_MedContIV,PedBerMedIV!$C7,6)*(PedBerMedIV!G7/10))</f>
        <v>0</v>
      </c>
      <c r="AE11" s="612">
        <f t="shared" si="0"/>
        <v>2</v>
      </c>
      <c r="AF11" s="612">
        <f t="shared" si="1"/>
        <v>0</v>
      </c>
      <c r="AH11" s="619"/>
      <c r="AI11" s="619"/>
      <c r="AJ11" s="619"/>
      <c r="AK11" s="619"/>
      <c r="AL11" s="619"/>
      <c r="AM11" s="619"/>
      <c r="AN11" s="619"/>
      <c r="AO11" s="619"/>
      <c r="AP11" s="619"/>
      <c r="AQ11" s="619"/>
      <c r="AR11" s="619"/>
      <c r="AS11" s="619"/>
      <c r="AT11" s="619"/>
      <c r="AU11" s="619"/>
      <c r="AV11" s="619"/>
      <c r="AW11" s="619"/>
      <c r="AX11" s="619"/>
      <c r="AY11" s="619"/>
      <c r="AZ11" s="619"/>
      <c r="BA11" s="619"/>
      <c r="BB11" s="619"/>
      <c r="BC11" s="619"/>
      <c r="BD11" s="619"/>
      <c r="BE11" s="619"/>
      <c r="BF11" s="619"/>
      <c r="BG11" s="619"/>
      <c r="BH11" s="619"/>
      <c r="BI11" s="619"/>
      <c r="BJ11" s="619"/>
      <c r="BK11" s="619"/>
      <c r="BL11" s="619"/>
      <c r="BM11" s="619"/>
      <c r="BN11" s="619"/>
      <c r="BO11" s="619"/>
      <c r="BP11" s="619"/>
      <c r="BQ11" s="619"/>
      <c r="BR11" s="619"/>
      <c r="BS11" s="619"/>
      <c r="BT11" s="619"/>
      <c r="BU11" s="619"/>
      <c r="BV11" s="619"/>
      <c r="BW11" s="619"/>
      <c r="BX11" s="619"/>
      <c r="BY11" s="619"/>
      <c r="BZ11" s="619"/>
      <c r="CA11" s="619"/>
      <c r="CB11" s="619"/>
      <c r="CC11" s="619"/>
      <c r="CD11" s="619"/>
      <c r="CE11" s="619"/>
      <c r="CF11" s="619"/>
    </row>
    <row r="12" spans="1:84" ht="20.100000000000001" customHeight="1" thickTop="1" thickBot="1" x14ac:dyDescent="0.25">
      <c r="B12" s="623" t="str">
        <f>PedBerMedIV!Z8</f>
        <v/>
      </c>
      <c r="C12" s="623" t="str">
        <f>PedBerMedIV!AA8</f>
        <v/>
      </c>
      <c r="D12" s="592">
        <v>4</v>
      </c>
      <c r="E12" s="578">
        <f>PedBerMedIV!C8</f>
        <v>1</v>
      </c>
      <c r="F12" s="579" t="str">
        <f>PedBerMedIV!AC8</f>
        <v/>
      </c>
      <c r="G12" s="579" t="str">
        <f>PedBerMedIV!AD8</f>
        <v/>
      </c>
      <c r="H12" s="580"/>
      <c r="I12" s="580" t="str">
        <f>PedBerMedIV!AF8</f>
        <v/>
      </c>
      <c r="J12" s="580" t="str">
        <f>PedBerMedIV!AG8</f>
        <v/>
      </c>
      <c r="K12" s="580" t="str">
        <f>PedBerMedIV!AH8</f>
        <v/>
      </c>
      <c r="L12" s="580" t="str">
        <f>PedBerMedIV!AI8</f>
        <v/>
      </c>
      <c r="M12" s="580" t="str">
        <f>PedBerMedIV!AJ8</f>
        <v/>
      </c>
      <c r="N12" s="581"/>
      <c r="O12" s="614"/>
      <c r="P12" s="614"/>
      <c r="Q12" s="614"/>
      <c r="R12" s="614"/>
      <c r="S12" s="614"/>
      <c r="T12" s="614"/>
      <c r="U12" s="614"/>
      <c r="V12" s="614"/>
      <c r="W12" s="614"/>
      <c r="X12" s="614"/>
      <c r="Y12" s="614"/>
      <c r="Z12" s="614"/>
      <c r="AA12" s="614"/>
      <c r="AC12" s="619"/>
      <c r="AD12" s="612">
        <f>IF(E12&lt;&gt;0,INDEX(Tbl_Ped_MedContIV,PedBerMedIV!$C8,6)*(PedBerMedIV!G8/10))</f>
        <v>0</v>
      </c>
      <c r="AE12" s="612">
        <f t="shared" si="0"/>
        <v>2</v>
      </c>
      <c r="AF12" s="612">
        <f t="shared" si="1"/>
        <v>0</v>
      </c>
      <c r="AH12" s="619"/>
      <c r="AI12" s="619"/>
      <c r="AJ12" s="619"/>
      <c r="AK12" s="619"/>
      <c r="AL12" s="619"/>
      <c r="AM12" s="619"/>
      <c r="AN12" s="619"/>
      <c r="AO12" s="619"/>
      <c r="AP12" s="619"/>
      <c r="AQ12" s="619"/>
      <c r="AR12" s="619"/>
      <c r="AS12" s="619"/>
      <c r="AT12" s="619"/>
      <c r="AU12" s="619"/>
      <c r="AV12" s="619"/>
      <c r="AW12" s="619"/>
      <c r="AX12" s="619"/>
      <c r="AY12" s="619"/>
      <c r="AZ12" s="619"/>
      <c r="BA12" s="619"/>
      <c r="BB12" s="619"/>
      <c r="BC12" s="619"/>
      <c r="BD12" s="619"/>
      <c r="BE12" s="619"/>
      <c r="BF12" s="619"/>
      <c r="BG12" s="619"/>
      <c r="BH12" s="619"/>
      <c r="BI12" s="619"/>
      <c r="BJ12" s="619"/>
      <c r="BK12" s="619"/>
      <c r="BL12" s="619"/>
      <c r="BM12" s="619"/>
      <c r="BN12" s="619"/>
      <c r="BO12" s="619"/>
      <c r="BP12" s="619"/>
      <c r="BQ12" s="619"/>
      <c r="BR12" s="619"/>
      <c r="BS12" s="619"/>
      <c r="BT12" s="619"/>
      <c r="BU12" s="619"/>
      <c r="BV12" s="619"/>
      <c r="BW12" s="619"/>
      <c r="BX12" s="619"/>
      <c r="BY12" s="619"/>
      <c r="BZ12" s="619"/>
      <c r="CA12" s="619"/>
      <c r="CB12" s="619"/>
      <c r="CC12" s="619"/>
      <c r="CD12" s="619"/>
      <c r="CE12" s="619"/>
      <c r="CF12" s="619"/>
    </row>
    <row r="13" spans="1:84" ht="20.100000000000001" customHeight="1" thickTop="1" thickBot="1" x14ac:dyDescent="0.25">
      <c r="B13" s="623" t="str">
        <f>PedBerMedIV!Z9</f>
        <v/>
      </c>
      <c r="C13" s="623" t="str">
        <f>PedBerMedIV!AA9</f>
        <v/>
      </c>
      <c r="D13" s="592">
        <v>5</v>
      </c>
      <c r="E13" s="578">
        <f>PedBerMedIV!C9</f>
        <v>1</v>
      </c>
      <c r="F13" s="579" t="str">
        <f>PedBerMedIV!AC9</f>
        <v/>
      </c>
      <c r="G13" s="579" t="str">
        <f>PedBerMedIV!AD9</f>
        <v/>
      </c>
      <c r="H13" s="580"/>
      <c r="I13" s="580" t="str">
        <f>PedBerMedIV!AF9</f>
        <v/>
      </c>
      <c r="J13" s="580" t="str">
        <f>PedBerMedIV!AG9</f>
        <v/>
      </c>
      <c r="K13" s="580" t="str">
        <f>PedBerMedIV!AH9</f>
        <v/>
      </c>
      <c r="L13" s="580" t="str">
        <f>PedBerMedIV!AI9</f>
        <v/>
      </c>
      <c r="M13" s="580" t="str">
        <f>PedBerMedIV!AJ9</f>
        <v/>
      </c>
      <c r="N13" s="581"/>
      <c r="O13" s="614"/>
      <c r="P13" s="614"/>
      <c r="Q13" s="614"/>
      <c r="R13" s="614"/>
      <c r="S13" s="614"/>
      <c r="T13" s="614"/>
      <c r="U13" s="614"/>
      <c r="V13" s="614"/>
      <c r="W13" s="614"/>
      <c r="X13" s="614"/>
      <c r="Y13" s="614"/>
      <c r="Z13" s="614"/>
      <c r="AA13" s="614"/>
      <c r="AC13" s="619"/>
      <c r="AD13" s="612">
        <f>IF(E13&lt;&gt;0,INDEX(Tbl_Ped_MedContIV,PedBerMedIV!$C9,6)*(PedBerMedIV!G9/10))</f>
        <v>0</v>
      </c>
      <c r="AE13" s="612">
        <f t="shared" si="0"/>
        <v>2</v>
      </c>
      <c r="AF13" s="612">
        <f t="shared" si="1"/>
        <v>0</v>
      </c>
      <c r="AH13" s="619"/>
      <c r="AI13" s="619"/>
      <c r="AJ13" s="619"/>
      <c r="AK13" s="619"/>
      <c r="AL13" s="619"/>
      <c r="AM13" s="619"/>
      <c r="AN13" s="619"/>
      <c r="AO13" s="619"/>
      <c r="AP13" s="619"/>
      <c r="AQ13" s="619"/>
      <c r="AR13" s="619"/>
      <c r="AS13" s="619"/>
      <c r="AT13" s="619"/>
      <c r="AU13" s="619"/>
      <c r="AV13" s="619"/>
      <c r="AW13" s="619"/>
      <c r="AX13" s="619"/>
      <c r="AY13" s="619"/>
      <c r="AZ13" s="619"/>
      <c r="BA13" s="619"/>
      <c r="BB13" s="619"/>
      <c r="BC13" s="619"/>
      <c r="BD13" s="619"/>
      <c r="BE13" s="619"/>
      <c r="BF13" s="619"/>
      <c r="BG13" s="619"/>
      <c r="BH13" s="619"/>
      <c r="BI13" s="619"/>
      <c r="BJ13" s="619"/>
      <c r="BK13" s="619"/>
      <c r="BL13" s="619"/>
      <c r="BM13" s="619"/>
      <c r="BN13" s="619"/>
      <c r="BO13" s="619"/>
      <c r="BP13" s="619"/>
      <c r="BQ13" s="619"/>
      <c r="BR13" s="619"/>
      <c r="BS13" s="619"/>
      <c r="BT13" s="619"/>
      <c r="BU13" s="619"/>
      <c r="BV13" s="619"/>
      <c r="BW13" s="619"/>
      <c r="BX13" s="619"/>
      <c r="BY13" s="619"/>
      <c r="BZ13" s="619"/>
      <c r="CA13" s="619"/>
      <c r="CB13" s="619"/>
      <c r="CC13" s="619"/>
      <c r="CD13" s="619"/>
      <c r="CE13" s="619"/>
      <c r="CF13" s="619"/>
    </row>
    <row r="14" spans="1:84" ht="20.100000000000001" customHeight="1" thickTop="1" thickBot="1" x14ac:dyDescent="0.25">
      <c r="B14" s="623" t="str">
        <f>PedBerMedIV!Z10</f>
        <v/>
      </c>
      <c r="C14" s="623" t="str">
        <f>PedBerMedIV!AA10</f>
        <v/>
      </c>
      <c r="D14" s="592">
        <v>6</v>
      </c>
      <c r="E14" s="578">
        <f>PedBerMedIV!C10</f>
        <v>1</v>
      </c>
      <c r="F14" s="579" t="str">
        <f>PedBerMedIV!AC10</f>
        <v/>
      </c>
      <c r="G14" s="579" t="str">
        <f>PedBerMedIV!AD10</f>
        <v/>
      </c>
      <c r="H14" s="580"/>
      <c r="I14" s="580" t="str">
        <f>PedBerMedIV!AF10</f>
        <v/>
      </c>
      <c r="J14" s="580" t="str">
        <f>PedBerMedIV!AG10</f>
        <v/>
      </c>
      <c r="K14" s="580" t="str">
        <f>PedBerMedIV!AH10</f>
        <v/>
      </c>
      <c r="L14" s="580" t="str">
        <f>PedBerMedIV!AI10</f>
        <v/>
      </c>
      <c r="M14" s="580" t="str">
        <f>PedBerMedIV!AJ10</f>
        <v/>
      </c>
      <c r="N14" s="581"/>
      <c r="O14" s="614"/>
      <c r="P14" s="614"/>
      <c r="Q14" s="614"/>
      <c r="R14" s="614"/>
      <c r="S14" s="614"/>
      <c r="T14" s="614"/>
      <c r="U14" s="614"/>
      <c r="V14" s="614"/>
      <c r="W14" s="614"/>
      <c r="X14" s="614"/>
      <c r="Y14" s="614"/>
      <c r="Z14" s="614"/>
      <c r="AA14" s="614"/>
      <c r="AC14" s="619"/>
      <c r="AD14" s="612">
        <f>IF(E14&lt;&gt;0,INDEX(Tbl_Ped_MedContIV,PedBerMedIV!$C10,6)*(PedBerMedIV!G10/10))</f>
        <v>0</v>
      </c>
      <c r="AE14" s="612">
        <f t="shared" si="0"/>
        <v>2</v>
      </c>
      <c r="AF14" s="612">
        <f t="shared" si="1"/>
        <v>0</v>
      </c>
      <c r="AH14" s="619"/>
      <c r="AI14" s="619"/>
      <c r="AJ14" s="619"/>
      <c r="AK14" s="619"/>
      <c r="AL14" s="619"/>
      <c r="AM14" s="619"/>
      <c r="AN14" s="619"/>
      <c r="AO14" s="619"/>
      <c r="AP14" s="619"/>
      <c r="AQ14" s="619"/>
      <c r="AR14" s="619"/>
      <c r="AS14" s="619"/>
      <c r="AT14" s="619"/>
      <c r="AU14" s="619"/>
      <c r="AV14" s="619"/>
      <c r="AW14" s="619"/>
      <c r="AX14" s="619"/>
      <c r="AY14" s="619"/>
      <c r="AZ14" s="619"/>
      <c r="BA14" s="619"/>
      <c r="BB14" s="619"/>
      <c r="BC14" s="619"/>
      <c r="BD14" s="619"/>
      <c r="BE14" s="619"/>
      <c r="BF14" s="619"/>
      <c r="BG14" s="619"/>
      <c r="BH14" s="619"/>
      <c r="BI14" s="619"/>
      <c r="BJ14" s="619"/>
      <c r="BK14" s="619"/>
      <c r="BL14" s="619"/>
      <c r="BM14" s="619"/>
      <c r="BN14" s="619"/>
      <c r="BO14" s="619"/>
      <c r="BP14" s="619"/>
      <c r="BQ14" s="619"/>
      <c r="BR14" s="619"/>
      <c r="BS14" s="619"/>
      <c r="BT14" s="619"/>
      <c r="BU14" s="619"/>
      <c r="BV14" s="619"/>
      <c r="BW14" s="619"/>
      <c r="BX14" s="619"/>
      <c r="BY14" s="619"/>
      <c r="BZ14" s="619"/>
      <c r="CA14" s="619"/>
      <c r="CB14" s="619"/>
      <c r="CC14" s="619"/>
      <c r="CD14" s="619"/>
      <c r="CE14" s="619"/>
      <c r="CF14" s="619"/>
    </row>
    <row r="15" spans="1:84" ht="20.100000000000001" customHeight="1" thickTop="1" thickBot="1" x14ac:dyDescent="0.25">
      <c r="B15" s="623" t="str">
        <f>PedBerMedIV!Z11</f>
        <v/>
      </c>
      <c r="C15" s="623" t="str">
        <f>PedBerMedIV!AA11</f>
        <v/>
      </c>
      <c r="D15" s="592">
        <v>7</v>
      </c>
      <c r="E15" s="578">
        <f>PedBerMedIV!C11</f>
        <v>1</v>
      </c>
      <c r="F15" s="579" t="str">
        <f>PedBerMedIV!AC11</f>
        <v/>
      </c>
      <c r="G15" s="579" t="str">
        <f>PedBerMedIV!AD11</f>
        <v/>
      </c>
      <c r="H15" s="580"/>
      <c r="I15" s="580" t="str">
        <f>PedBerMedIV!AF11</f>
        <v/>
      </c>
      <c r="J15" s="580" t="str">
        <f>PedBerMedIV!AG11</f>
        <v/>
      </c>
      <c r="K15" s="580" t="str">
        <f>PedBerMedIV!AH11</f>
        <v/>
      </c>
      <c r="L15" s="580" t="str">
        <f>PedBerMedIV!AI11</f>
        <v/>
      </c>
      <c r="M15" s="580" t="str">
        <f>PedBerMedIV!AJ11</f>
        <v/>
      </c>
      <c r="N15" s="581"/>
      <c r="O15" s="614"/>
      <c r="P15" s="614"/>
      <c r="Q15" s="614"/>
      <c r="R15" s="614"/>
      <c r="S15" s="614"/>
      <c r="T15" s="614"/>
      <c r="U15" s="614"/>
      <c r="V15" s="614"/>
      <c r="W15" s="614"/>
      <c r="X15" s="614"/>
      <c r="Y15" s="614"/>
      <c r="Z15" s="614"/>
      <c r="AA15" s="614"/>
      <c r="AC15" s="619"/>
      <c r="AD15" s="612">
        <f>IF(E15&lt;&gt;0,INDEX(Tbl_Ped_MedContIV,PedBerMedIV!$C11,6)*(PedBerMedIV!G11/10))</f>
        <v>0</v>
      </c>
      <c r="AE15" s="612">
        <f t="shared" si="0"/>
        <v>2</v>
      </c>
      <c r="AF15" s="612">
        <f t="shared" si="1"/>
        <v>0</v>
      </c>
      <c r="AH15" s="619"/>
      <c r="AI15" s="619"/>
      <c r="AJ15" s="619"/>
      <c r="AK15" s="619"/>
      <c r="AL15" s="619"/>
      <c r="AM15" s="619"/>
      <c r="AN15" s="619"/>
      <c r="AO15" s="619"/>
      <c r="AP15" s="619"/>
      <c r="AQ15" s="619"/>
      <c r="AR15" s="619"/>
      <c r="AS15" s="619"/>
      <c r="AT15" s="619"/>
      <c r="AU15" s="619"/>
      <c r="AV15" s="619"/>
      <c r="AW15" s="619"/>
      <c r="AX15" s="619"/>
      <c r="AY15" s="619"/>
      <c r="AZ15" s="619"/>
      <c r="BA15" s="619"/>
      <c r="BB15" s="619"/>
      <c r="BC15" s="619"/>
      <c r="BD15" s="619"/>
      <c r="BE15" s="619"/>
      <c r="BF15" s="619"/>
      <c r="BG15" s="619"/>
      <c r="BH15" s="619"/>
      <c r="BI15" s="619"/>
      <c r="BJ15" s="619"/>
      <c r="BK15" s="619"/>
      <c r="BL15" s="619"/>
      <c r="BM15" s="619"/>
      <c r="BN15" s="619"/>
      <c r="BO15" s="619"/>
      <c r="BP15" s="619"/>
      <c r="BQ15" s="619"/>
      <c r="BR15" s="619"/>
      <c r="BS15" s="619"/>
      <c r="BT15" s="619"/>
      <c r="BU15" s="619"/>
      <c r="BV15" s="619"/>
      <c r="BW15" s="619"/>
      <c r="BX15" s="619"/>
      <c r="BY15" s="619"/>
      <c r="BZ15" s="619"/>
      <c r="CA15" s="619"/>
      <c r="CB15" s="619"/>
      <c r="CC15" s="619"/>
      <c r="CD15" s="619"/>
      <c r="CE15" s="619"/>
      <c r="CF15" s="619"/>
    </row>
    <row r="16" spans="1:84" ht="20.100000000000001" customHeight="1" thickTop="1" thickBot="1" x14ac:dyDescent="0.25">
      <c r="B16" s="623" t="str">
        <f>PedBerMedIV!Z12</f>
        <v/>
      </c>
      <c r="C16" s="623" t="str">
        <f>PedBerMedIV!AA12</f>
        <v/>
      </c>
      <c r="D16" s="592">
        <v>8</v>
      </c>
      <c r="E16" s="578">
        <f>PedBerMedIV!C12</f>
        <v>1</v>
      </c>
      <c r="F16" s="579" t="str">
        <f>PedBerMedIV!AC12</f>
        <v/>
      </c>
      <c r="G16" s="579" t="str">
        <f>PedBerMedIV!AD12</f>
        <v/>
      </c>
      <c r="H16" s="580"/>
      <c r="I16" s="580" t="str">
        <f>PedBerMedIV!AF12</f>
        <v/>
      </c>
      <c r="J16" s="580" t="str">
        <f>PedBerMedIV!AG12</f>
        <v/>
      </c>
      <c r="K16" s="580" t="str">
        <f>PedBerMedIV!AH12</f>
        <v/>
      </c>
      <c r="L16" s="580" t="str">
        <f>PedBerMedIV!AI12</f>
        <v/>
      </c>
      <c r="M16" s="580" t="str">
        <f>PedBerMedIV!AJ12</f>
        <v/>
      </c>
      <c r="N16" s="581"/>
      <c r="O16" s="614"/>
      <c r="P16" s="614"/>
      <c r="Q16" s="614"/>
      <c r="R16" s="614"/>
      <c r="S16" s="614"/>
      <c r="T16" s="614"/>
      <c r="U16" s="614"/>
      <c r="V16" s="614"/>
      <c r="W16" s="614"/>
      <c r="X16" s="614"/>
      <c r="Y16" s="614"/>
      <c r="Z16" s="614"/>
      <c r="AA16" s="614"/>
      <c r="AC16" s="619"/>
      <c r="AD16" s="612">
        <f>IF(E16&lt;&gt;0,INDEX(Tbl_Ped_MedContIV,PedBerMedIV!$C12,6)*(PedBerMedIV!G12/10))</f>
        <v>0</v>
      </c>
      <c r="AE16" s="612">
        <f t="shared" si="0"/>
        <v>2</v>
      </c>
      <c r="AF16" s="612">
        <f t="shared" si="1"/>
        <v>0</v>
      </c>
      <c r="AH16" s="619"/>
      <c r="AI16" s="619"/>
      <c r="AJ16" s="619"/>
      <c r="AK16" s="619"/>
      <c r="AL16" s="619"/>
      <c r="AM16" s="619"/>
      <c r="AN16" s="619"/>
      <c r="AO16" s="619"/>
      <c r="AP16" s="619"/>
      <c r="AQ16" s="619"/>
      <c r="AR16" s="619"/>
      <c r="AS16" s="619"/>
      <c r="AT16" s="619"/>
      <c r="AU16" s="619"/>
      <c r="AV16" s="619"/>
      <c r="AW16" s="619"/>
      <c r="AX16" s="619"/>
      <c r="AY16" s="619"/>
      <c r="AZ16" s="619"/>
      <c r="BA16" s="619"/>
      <c r="BB16" s="619"/>
      <c r="BC16" s="619"/>
      <c r="BD16" s="619"/>
      <c r="BE16" s="619"/>
      <c r="BF16" s="619"/>
      <c r="BG16" s="619"/>
      <c r="BH16" s="619"/>
      <c r="BI16" s="619"/>
      <c r="BJ16" s="619"/>
      <c r="BK16" s="619"/>
      <c r="BL16" s="619"/>
      <c r="BM16" s="619"/>
      <c r="BN16" s="619"/>
      <c r="BO16" s="619"/>
      <c r="BP16" s="619"/>
      <c r="BQ16" s="619"/>
      <c r="BR16" s="619"/>
      <c r="BS16" s="619"/>
      <c r="BT16" s="619"/>
      <c r="BU16" s="619"/>
      <c r="BV16" s="619"/>
      <c r="BW16" s="619"/>
      <c r="BX16" s="619"/>
      <c r="BY16" s="619"/>
      <c r="BZ16" s="619"/>
      <c r="CA16" s="619"/>
      <c r="CB16" s="619"/>
      <c r="CC16" s="619"/>
      <c r="CD16" s="619"/>
      <c r="CE16" s="619"/>
      <c r="CF16" s="619"/>
    </row>
    <row r="17" spans="2:84" ht="20.100000000000001" customHeight="1" thickTop="1" thickBot="1" x14ac:dyDescent="0.25">
      <c r="B17" s="623" t="str">
        <f>PedBerMedIV!Z13</f>
        <v/>
      </c>
      <c r="C17" s="623" t="str">
        <f>PedBerMedIV!AA13</f>
        <v/>
      </c>
      <c r="D17" s="592">
        <v>9</v>
      </c>
      <c r="E17" s="578">
        <f>PedBerMedIV!C13</f>
        <v>1</v>
      </c>
      <c r="F17" s="579" t="str">
        <f>PedBerMedIV!AC13</f>
        <v/>
      </c>
      <c r="G17" s="579" t="str">
        <f>PedBerMedIV!AD13</f>
        <v/>
      </c>
      <c r="H17" s="580"/>
      <c r="I17" s="580" t="str">
        <f>PedBerMedIV!AF13</f>
        <v/>
      </c>
      <c r="J17" s="580" t="str">
        <f>PedBerMedIV!AG13</f>
        <v/>
      </c>
      <c r="K17" s="580" t="str">
        <f>PedBerMedIV!AH13</f>
        <v/>
      </c>
      <c r="L17" s="580" t="str">
        <f>PedBerMedIV!AI13</f>
        <v/>
      </c>
      <c r="M17" s="580" t="str">
        <f>PedBerMedIV!AJ13</f>
        <v/>
      </c>
      <c r="N17" s="581"/>
      <c r="O17" s="614"/>
      <c r="P17" s="614"/>
      <c r="Q17" s="614"/>
      <c r="R17" s="614"/>
      <c r="S17" s="614"/>
      <c r="T17" s="614"/>
      <c r="U17" s="614"/>
      <c r="V17" s="614"/>
      <c r="W17" s="614"/>
      <c r="X17" s="614"/>
      <c r="Y17" s="614"/>
      <c r="Z17" s="614"/>
      <c r="AA17" s="614"/>
      <c r="AC17" s="619"/>
      <c r="AD17" s="612">
        <f>IF(E17&lt;&gt;0,INDEX(Tbl_Ped_MedContIV,PedBerMedIV!$C13,6)*(PedBerMedIV!G13/10))</f>
        <v>0</v>
      </c>
      <c r="AE17" s="612">
        <f t="shared" si="0"/>
        <v>2</v>
      </c>
      <c r="AF17" s="612">
        <f t="shared" si="1"/>
        <v>0</v>
      </c>
      <c r="AH17" s="619"/>
      <c r="AI17" s="619"/>
      <c r="AJ17" s="619"/>
      <c r="AK17" s="619"/>
      <c r="AL17" s="619"/>
      <c r="AM17" s="619"/>
      <c r="AN17" s="619"/>
      <c r="AO17" s="619"/>
      <c r="AP17" s="619"/>
      <c r="AQ17" s="619"/>
      <c r="AR17" s="619"/>
      <c r="AS17" s="619"/>
      <c r="AT17" s="619"/>
      <c r="AU17" s="619"/>
      <c r="AV17" s="619"/>
      <c r="AW17" s="619"/>
      <c r="AX17" s="619"/>
      <c r="AY17" s="619"/>
      <c r="AZ17" s="619"/>
      <c r="BA17" s="619"/>
      <c r="BB17" s="619"/>
      <c r="BC17" s="619"/>
      <c r="BD17" s="619"/>
      <c r="BE17" s="619"/>
      <c r="BF17" s="619"/>
      <c r="BG17" s="619"/>
      <c r="BH17" s="619"/>
      <c r="BI17" s="619"/>
      <c r="BJ17" s="619"/>
      <c r="BK17" s="619"/>
      <c r="BL17" s="619"/>
      <c r="BM17" s="619"/>
      <c r="BN17" s="619"/>
      <c r="BO17" s="619"/>
      <c r="BP17" s="619"/>
      <c r="BQ17" s="619"/>
      <c r="BR17" s="619"/>
      <c r="BS17" s="619"/>
      <c r="BT17" s="619"/>
      <c r="BU17" s="619"/>
      <c r="BV17" s="619"/>
      <c r="BW17" s="619"/>
      <c r="BX17" s="619"/>
      <c r="BY17" s="619"/>
      <c r="BZ17" s="619"/>
      <c r="CA17" s="619"/>
      <c r="CB17" s="619"/>
      <c r="CC17" s="619"/>
      <c r="CD17" s="619"/>
      <c r="CE17" s="619"/>
      <c r="CF17" s="619"/>
    </row>
    <row r="18" spans="2:84" ht="20.100000000000001" customHeight="1" thickTop="1" thickBot="1" x14ac:dyDescent="0.25">
      <c r="B18" s="623" t="str">
        <f>PedBerMedIV!Z14</f>
        <v/>
      </c>
      <c r="C18" s="623" t="str">
        <f>PedBerMedIV!AA14</f>
        <v/>
      </c>
      <c r="D18" s="592">
        <v>10</v>
      </c>
      <c r="E18" s="578">
        <f>PedBerMedIV!C14</f>
        <v>1</v>
      </c>
      <c r="F18" s="579" t="str">
        <f>PedBerMedIV!AC14</f>
        <v/>
      </c>
      <c r="G18" s="579" t="str">
        <f>PedBerMedIV!AD14</f>
        <v/>
      </c>
      <c r="H18" s="580"/>
      <c r="I18" s="580" t="str">
        <f>PedBerMedIV!AF14</f>
        <v/>
      </c>
      <c r="J18" s="580" t="str">
        <f>PedBerMedIV!AG14</f>
        <v/>
      </c>
      <c r="K18" s="580" t="str">
        <f>PedBerMedIV!AH14</f>
        <v/>
      </c>
      <c r="L18" s="580" t="str">
        <f>PedBerMedIV!AI14</f>
        <v/>
      </c>
      <c r="M18" s="580" t="str">
        <f>PedBerMedIV!AJ14</f>
        <v/>
      </c>
      <c r="N18" s="581"/>
      <c r="O18" s="614"/>
      <c r="P18" s="614"/>
      <c r="Q18" s="614"/>
      <c r="R18" s="614"/>
      <c r="S18" s="614"/>
      <c r="T18" s="614"/>
      <c r="U18" s="614"/>
      <c r="V18" s="614"/>
      <c r="W18" s="614"/>
      <c r="X18" s="614"/>
      <c r="Y18" s="614"/>
      <c r="Z18" s="614"/>
      <c r="AA18" s="614"/>
      <c r="AC18" s="619"/>
      <c r="AD18" s="612">
        <f>IF(E18&lt;&gt;0,INDEX(Tbl_Ped_MedContIV,PedBerMedIV!$C14,6)*(PedBerMedIV!G14/10))</f>
        <v>0</v>
      </c>
      <c r="AE18" s="612">
        <f t="shared" si="0"/>
        <v>2</v>
      </c>
      <c r="AF18" s="612">
        <f t="shared" si="1"/>
        <v>0</v>
      </c>
      <c r="AH18" s="619"/>
      <c r="AI18" s="619"/>
      <c r="AJ18" s="619"/>
      <c r="AK18" s="619"/>
      <c r="AL18" s="619"/>
      <c r="AM18" s="619"/>
      <c r="AN18" s="619"/>
      <c r="AO18" s="619"/>
      <c r="AP18" s="619"/>
      <c r="AQ18" s="619"/>
      <c r="AR18" s="619"/>
      <c r="AS18" s="619"/>
      <c r="AT18" s="619"/>
      <c r="AU18" s="619"/>
      <c r="AV18" s="619"/>
      <c r="AW18" s="619"/>
      <c r="AX18" s="619"/>
      <c r="AY18" s="619"/>
      <c r="AZ18" s="619"/>
      <c r="BA18" s="619"/>
      <c r="BB18" s="619"/>
      <c r="BC18" s="619"/>
      <c r="BD18" s="619"/>
      <c r="BE18" s="619"/>
      <c r="BF18" s="619"/>
      <c r="BG18" s="619"/>
      <c r="BH18" s="619"/>
      <c r="BI18" s="619"/>
      <c r="BJ18" s="619"/>
      <c r="BK18" s="619"/>
      <c r="BL18" s="619"/>
      <c r="BM18" s="619"/>
      <c r="BN18" s="619"/>
      <c r="BO18" s="619"/>
      <c r="BP18" s="619"/>
      <c r="BQ18" s="619"/>
      <c r="BR18" s="619"/>
      <c r="BS18" s="619"/>
      <c r="BT18" s="619"/>
      <c r="BU18" s="619"/>
      <c r="BV18" s="619"/>
      <c r="BW18" s="619"/>
      <c r="BX18" s="619"/>
      <c r="BY18" s="619"/>
      <c r="BZ18" s="619"/>
      <c r="CA18" s="619"/>
      <c r="CB18" s="619"/>
      <c r="CC18" s="619"/>
      <c r="CD18" s="619"/>
      <c r="CE18" s="619"/>
      <c r="CF18" s="619"/>
    </row>
    <row r="19" spans="2:84" ht="20.100000000000001" customHeight="1" thickTop="1" thickBot="1" x14ac:dyDescent="0.25">
      <c r="B19" s="623" t="str">
        <f>PedBerMedIV!Z15</f>
        <v/>
      </c>
      <c r="C19" s="623" t="str">
        <f>PedBerMedIV!AA15</f>
        <v/>
      </c>
      <c r="D19" s="592">
        <v>11</v>
      </c>
      <c r="E19" s="578">
        <f>PedBerMedIV!C15</f>
        <v>1</v>
      </c>
      <c r="F19" s="579" t="str">
        <f>PedBerMedIV!AC15</f>
        <v/>
      </c>
      <c r="G19" s="579" t="str">
        <f>PedBerMedIV!AD15</f>
        <v/>
      </c>
      <c r="H19" s="580"/>
      <c r="I19" s="580" t="str">
        <f>PedBerMedIV!AF15</f>
        <v/>
      </c>
      <c r="J19" s="580" t="str">
        <f>PedBerMedIV!AG15</f>
        <v/>
      </c>
      <c r="K19" s="580" t="str">
        <f>PedBerMedIV!AH15</f>
        <v/>
      </c>
      <c r="L19" s="580" t="str">
        <f>PedBerMedIV!AI15</f>
        <v/>
      </c>
      <c r="M19" s="580" t="str">
        <f>PedBerMedIV!AJ15</f>
        <v/>
      </c>
      <c r="N19" s="581"/>
      <c r="O19" s="614"/>
      <c r="P19" s="614"/>
      <c r="Q19" s="614"/>
      <c r="R19" s="614"/>
      <c r="S19" s="614"/>
      <c r="T19" s="614"/>
      <c r="U19" s="614"/>
      <c r="V19" s="614"/>
      <c r="W19" s="614"/>
      <c r="X19" s="614"/>
      <c r="Y19" s="614"/>
      <c r="Z19" s="614"/>
      <c r="AA19" s="614"/>
      <c r="AC19" s="619"/>
      <c r="AH19" s="619"/>
      <c r="AI19" s="619"/>
      <c r="AJ19" s="619"/>
      <c r="AK19" s="619"/>
      <c r="AL19" s="619"/>
      <c r="AM19" s="619"/>
      <c r="AN19" s="619"/>
      <c r="AO19" s="619"/>
      <c r="AP19" s="619"/>
      <c r="AQ19" s="619"/>
      <c r="AR19" s="619"/>
      <c r="AS19" s="619"/>
      <c r="AT19" s="619"/>
      <c r="AU19" s="619"/>
      <c r="AV19" s="619"/>
      <c r="AW19" s="619"/>
      <c r="AX19" s="619"/>
      <c r="AY19" s="619"/>
      <c r="AZ19" s="619"/>
      <c r="BA19" s="619"/>
      <c r="BB19" s="619"/>
      <c r="BC19" s="619"/>
      <c r="BD19" s="619"/>
      <c r="BE19" s="619"/>
      <c r="BF19" s="619"/>
      <c r="BG19" s="619"/>
      <c r="BH19" s="619"/>
      <c r="BI19" s="619"/>
      <c r="BJ19" s="619"/>
      <c r="BK19" s="619"/>
      <c r="BL19" s="619"/>
      <c r="BM19" s="619"/>
      <c r="BN19" s="619"/>
      <c r="BO19" s="619"/>
      <c r="BP19" s="619"/>
      <c r="BQ19" s="619"/>
      <c r="BR19" s="619"/>
      <c r="BS19" s="619"/>
      <c r="BT19" s="619"/>
      <c r="BU19" s="619"/>
      <c r="BV19" s="619"/>
      <c r="BW19" s="619"/>
      <c r="BX19" s="619"/>
      <c r="BY19" s="619"/>
      <c r="BZ19" s="619"/>
      <c r="CA19" s="619"/>
      <c r="CB19" s="619"/>
      <c r="CC19" s="619"/>
      <c r="CD19" s="619"/>
      <c r="CE19" s="619"/>
      <c r="CF19" s="619"/>
    </row>
    <row r="20" spans="2:84" ht="20.100000000000001" customHeight="1" thickTop="1" thickBot="1" x14ac:dyDescent="0.25">
      <c r="B20" s="623" t="str">
        <f>PedBerMedIV!Z16</f>
        <v/>
      </c>
      <c r="C20" s="623" t="str">
        <f>PedBerMedIV!AA16</f>
        <v/>
      </c>
      <c r="D20" s="592">
        <v>12</v>
      </c>
      <c r="E20" s="578">
        <f>PedBerMedIV!C16</f>
        <v>1</v>
      </c>
      <c r="F20" s="579" t="str">
        <f>PedBerMedIV!AC16</f>
        <v/>
      </c>
      <c r="G20" s="579" t="str">
        <f>PedBerMedIV!AD16</f>
        <v/>
      </c>
      <c r="H20" s="580"/>
      <c r="I20" s="580" t="str">
        <f>PedBerMedIV!AF16</f>
        <v/>
      </c>
      <c r="J20" s="580" t="str">
        <f>PedBerMedIV!AG16</f>
        <v/>
      </c>
      <c r="K20" s="580" t="str">
        <f>PedBerMedIV!AH16</f>
        <v/>
      </c>
      <c r="L20" s="580" t="str">
        <f>PedBerMedIV!AI16</f>
        <v/>
      </c>
      <c r="M20" s="580" t="str">
        <f>PedBerMedIV!AJ16</f>
        <v/>
      </c>
      <c r="N20" s="581"/>
      <c r="O20" s="614"/>
      <c r="P20" s="614"/>
      <c r="Q20" s="614"/>
      <c r="R20" s="614"/>
      <c r="S20" s="614"/>
      <c r="T20" s="614"/>
      <c r="U20" s="614"/>
      <c r="V20" s="614"/>
      <c r="W20" s="614"/>
      <c r="X20" s="614"/>
      <c r="Y20" s="614"/>
      <c r="Z20" s="614"/>
      <c r="AA20" s="614"/>
      <c r="AC20" s="619"/>
      <c r="AH20" s="619"/>
      <c r="AI20" s="619"/>
      <c r="AJ20" s="619"/>
      <c r="AK20" s="619"/>
      <c r="AL20" s="619"/>
      <c r="AM20" s="619"/>
      <c r="AN20" s="619"/>
      <c r="AO20" s="619"/>
      <c r="AP20" s="619"/>
      <c r="AQ20" s="619"/>
      <c r="AR20" s="619"/>
      <c r="AS20" s="619"/>
      <c r="AT20" s="619"/>
      <c r="AU20" s="619"/>
      <c r="AV20" s="619"/>
      <c r="AW20" s="619"/>
      <c r="AX20" s="619"/>
      <c r="AY20" s="619"/>
      <c r="AZ20" s="619"/>
      <c r="BA20" s="619"/>
      <c r="BB20" s="619"/>
      <c r="BC20" s="619"/>
      <c r="BD20" s="619"/>
      <c r="BE20" s="619"/>
      <c r="BF20" s="619"/>
      <c r="BG20" s="619"/>
      <c r="BH20" s="619"/>
      <c r="BI20" s="619"/>
      <c r="BJ20" s="619"/>
      <c r="BK20" s="619"/>
      <c r="BL20" s="619"/>
      <c r="BM20" s="619"/>
      <c r="BN20" s="619"/>
      <c r="BO20" s="619"/>
      <c r="BP20" s="619"/>
      <c r="BQ20" s="619"/>
      <c r="BR20" s="619"/>
      <c r="BS20" s="619"/>
      <c r="BT20" s="619"/>
      <c r="BU20" s="619"/>
      <c r="BV20" s="619"/>
      <c r="BW20" s="619"/>
      <c r="BX20" s="619"/>
      <c r="BY20" s="619"/>
      <c r="BZ20" s="619"/>
      <c r="CA20" s="619"/>
      <c r="CB20" s="619"/>
      <c r="CC20" s="619"/>
      <c r="CD20" s="619"/>
      <c r="CE20" s="619"/>
      <c r="CF20" s="619"/>
    </row>
    <row r="21" spans="2:84" ht="20.100000000000001" customHeight="1" thickTop="1" thickBot="1" x14ac:dyDescent="0.25">
      <c r="B21" s="623" t="str">
        <f>PedBerMedIV!Z17</f>
        <v/>
      </c>
      <c r="C21" s="623" t="str">
        <f>PedBerMedIV!AA17</f>
        <v/>
      </c>
      <c r="D21" s="592">
        <v>13</v>
      </c>
      <c r="E21" s="578">
        <f>PedBerMedIV!C17</f>
        <v>1</v>
      </c>
      <c r="F21" s="579" t="str">
        <f>PedBerMedIV!AC17</f>
        <v/>
      </c>
      <c r="G21" s="579" t="str">
        <f>PedBerMedIV!AD17</f>
        <v/>
      </c>
      <c r="H21" s="580"/>
      <c r="I21" s="580" t="str">
        <f>PedBerMedIV!AF17</f>
        <v/>
      </c>
      <c r="J21" s="580" t="str">
        <f>PedBerMedIV!AG17</f>
        <v/>
      </c>
      <c r="K21" s="580" t="str">
        <f>PedBerMedIV!AH17</f>
        <v/>
      </c>
      <c r="L21" s="580" t="str">
        <f>PedBerMedIV!AI17</f>
        <v/>
      </c>
      <c r="M21" s="580" t="str">
        <f>PedBerMedIV!AJ17</f>
        <v/>
      </c>
      <c r="N21" s="581"/>
      <c r="O21" s="614"/>
      <c r="P21" s="614"/>
      <c r="Q21" s="614"/>
      <c r="R21" s="614"/>
      <c r="S21" s="614"/>
      <c r="T21" s="614"/>
      <c r="U21" s="614"/>
      <c r="V21" s="614"/>
      <c r="W21" s="614"/>
      <c r="X21" s="614"/>
      <c r="Y21" s="614"/>
      <c r="Z21" s="614"/>
      <c r="AA21" s="614"/>
      <c r="AC21" s="619"/>
      <c r="AH21" s="619"/>
      <c r="AI21" s="619"/>
      <c r="AJ21" s="619"/>
      <c r="AK21" s="619"/>
      <c r="AL21" s="619"/>
      <c r="AM21" s="619"/>
      <c r="AN21" s="619"/>
      <c r="AO21" s="619"/>
      <c r="AP21" s="619"/>
      <c r="AQ21" s="619"/>
      <c r="AR21" s="619"/>
      <c r="AS21" s="619"/>
      <c r="AT21" s="619"/>
      <c r="AU21" s="619"/>
      <c r="AV21" s="619"/>
      <c r="AW21" s="619"/>
      <c r="AX21" s="619"/>
      <c r="AY21" s="619"/>
      <c r="AZ21" s="619"/>
      <c r="BA21" s="619"/>
      <c r="BB21" s="619"/>
      <c r="BC21" s="619"/>
      <c r="BD21" s="619"/>
      <c r="BE21" s="619"/>
      <c r="BF21" s="619"/>
      <c r="BG21" s="619"/>
      <c r="BH21" s="619"/>
      <c r="BI21" s="619"/>
      <c r="BJ21" s="619"/>
      <c r="BK21" s="619"/>
      <c r="BL21" s="619"/>
      <c r="BM21" s="619"/>
      <c r="BN21" s="619"/>
      <c r="BO21" s="619"/>
      <c r="BP21" s="619"/>
      <c r="BQ21" s="619"/>
      <c r="BR21" s="619"/>
      <c r="BS21" s="619"/>
      <c r="BT21" s="619"/>
      <c r="BU21" s="619"/>
      <c r="BV21" s="619"/>
      <c r="BW21" s="619"/>
      <c r="BX21" s="619"/>
      <c r="BY21" s="619"/>
      <c r="BZ21" s="619"/>
      <c r="CA21" s="619"/>
      <c r="CB21" s="619"/>
      <c r="CC21" s="619"/>
      <c r="CD21" s="619"/>
      <c r="CE21" s="619"/>
      <c r="CF21" s="619"/>
    </row>
    <row r="22" spans="2:84" ht="20.100000000000001" customHeight="1" thickTop="1" thickBot="1" x14ac:dyDescent="0.25">
      <c r="B22" s="623" t="str">
        <f>PedBerMedIV!Z18</f>
        <v/>
      </c>
      <c r="C22" s="623" t="str">
        <f>PedBerMedIV!AA18</f>
        <v/>
      </c>
      <c r="D22" s="592">
        <v>14</v>
      </c>
      <c r="E22" s="578">
        <f>PedBerMedIV!C18</f>
        <v>1</v>
      </c>
      <c r="F22" s="579" t="str">
        <f>PedBerMedIV!AC18</f>
        <v/>
      </c>
      <c r="G22" s="579" t="str">
        <f>PedBerMedIV!AD18</f>
        <v/>
      </c>
      <c r="H22" s="580"/>
      <c r="I22" s="580" t="str">
        <f>PedBerMedIV!AF18</f>
        <v/>
      </c>
      <c r="J22" s="580" t="str">
        <f>PedBerMedIV!AG18</f>
        <v/>
      </c>
      <c r="K22" s="580" t="str">
        <f>PedBerMedIV!AH18</f>
        <v/>
      </c>
      <c r="L22" s="580" t="str">
        <f>PedBerMedIV!AI18</f>
        <v/>
      </c>
      <c r="M22" s="580" t="str">
        <f>PedBerMedIV!AJ18</f>
        <v/>
      </c>
      <c r="N22" s="581"/>
      <c r="O22" s="614"/>
      <c r="P22" s="614"/>
      <c r="Q22" s="614"/>
      <c r="R22" s="614"/>
      <c r="S22" s="614"/>
      <c r="T22" s="614"/>
      <c r="U22" s="614"/>
      <c r="V22" s="614"/>
      <c r="W22" s="614"/>
      <c r="X22" s="614"/>
      <c r="Y22" s="614"/>
      <c r="Z22" s="614"/>
      <c r="AA22" s="614"/>
      <c r="AC22" s="619"/>
      <c r="AH22" s="619"/>
      <c r="AI22" s="619"/>
      <c r="AJ22" s="619"/>
      <c r="AK22" s="619"/>
      <c r="AL22" s="619"/>
      <c r="AM22" s="619"/>
      <c r="AN22" s="619"/>
      <c r="AO22" s="619"/>
      <c r="AP22" s="619"/>
      <c r="AQ22" s="619"/>
      <c r="AR22" s="619"/>
      <c r="AS22" s="619"/>
      <c r="AT22" s="619"/>
      <c r="AU22" s="619"/>
      <c r="AV22" s="619"/>
      <c r="AW22" s="619"/>
      <c r="AX22" s="619"/>
      <c r="AY22" s="619"/>
      <c r="AZ22" s="619"/>
      <c r="BA22" s="619"/>
      <c r="BB22" s="619"/>
      <c r="BC22" s="619"/>
      <c r="BD22" s="619"/>
      <c r="BE22" s="619"/>
      <c r="BF22" s="619"/>
      <c r="BG22" s="619"/>
      <c r="BH22" s="619"/>
      <c r="BI22" s="619"/>
      <c r="BJ22" s="619"/>
      <c r="BK22" s="619"/>
      <c r="BL22" s="619"/>
      <c r="BM22" s="619"/>
      <c r="BN22" s="619"/>
      <c r="BO22" s="619"/>
      <c r="BP22" s="619"/>
      <c r="BQ22" s="619"/>
      <c r="BR22" s="619"/>
      <c r="BS22" s="619"/>
      <c r="BT22" s="619"/>
      <c r="BU22" s="619"/>
      <c r="BV22" s="619"/>
      <c r="BW22" s="619"/>
      <c r="BX22" s="619"/>
      <c r="BY22" s="619"/>
      <c r="BZ22" s="619"/>
      <c r="CA22" s="619"/>
      <c r="CB22" s="619"/>
      <c r="CC22" s="619"/>
      <c r="CD22" s="619"/>
      <c r="CE22" s="619"/>
      <c r="CF22" s="619"/>
    </row>
    <row r="23" spans="2:84" ht="20.100000000000001" customHeight="1" thickTop="1" thickBot="1" x14ac:dyDescent="0.25">
      <c r="B23" s="623" t="str">
        <f>PedBerMedIV!Z19</f>
        <v/>
      </c>
      <c r="C23" s="623" t="str">
        <f>PedBerMedIV!AA19</f>
        <v/>
      </c>
      <c r="D23" s="592">
        <v>15</v>
      </c>
      <c r="E23" s="582">
        <f>PedBerMedIV!C19</f>
        <v>1</v>
      </c>
      <c r="F23" s="583" t="str">
        <f>PedBerMedIV!AC19</f>
        <v/>
      </c>
      <c r="G23" s="583" t="str">
        <f>PedBerMedIV!AD19</f>
        <v/>
      </c>
      <c r="H23" s="584"/>
      <c r="I23" s="584" t="str">
        <f>PedBerMedIV!AF19</f>
        <v/>
      </c>
      <c r="J23" s="584" t="str">
        <f>PedBerMedIV!AG19</f>
        <v/>
      </c>
      <c r="K23" s="584" t="str">
        <f>PedBerMedIV!AH19</f>
        <v/>
      </c>
      <c r="L23" s="584" t="str">
        <f>PedBerMedIV!AI19</f>
        <v/>
      </c>
      <c r="M23" s="584" t="str">
        <f>PedBerMedIV!AJ19</f>
        <v/>
      </c>
      <c r="N23" s="585"/>
      <c r="O23" s="614"/>
      <c r="P23" s="614"/>
      <c r="Q23" s="614"/>
      <c r="R23" s="614"/>
      <c r="S23" s="614"/>
      <c r="T23" s="614"/>
      <c r="U23" s="614"/>
      <c r="V23" s="614"/>
      <c r="W23" s="614"/>
      <c r="X23" s="614"/>
      <c r="Y23" s="614"/>
      <c r="Z23" s="614"/>
      <c r="AA23" s="614"/>
      <c r="AC23" s="619"/>
      <c r="AH23" s="619"/>
      <c r="AI23" s="619"/>
      <c r="AJ23" s="619"/>
      <c r="AK23" s="619"/>
      <c r="AL23" s="619"/>
      <c r="AM23" s="619"/>
      <c r="AN23" s="619"/>
      <c r="AO23" s="619"/>
      <c r="AP23" s="619"/>
      <c r="AQ23" s="619"/>
      <c r="AR23" s="619"/>
      <c r="AS23" s="619"/>
      <c r="AT23" s="619"/>
      <c r="AU23" s="619"/>
      <c r="AV23" s="619"/>
      <c r="AW23" s="619"/>
      <c r="AX23" s="619"/>
      <c r="AY23" s="619"/>
      <c r="AZ23" s="619"/>
      <c r="BA23" s="619"/>
      <c r="BB23" s="619"/>
      <c r="BC23" s="619"/>
      <c r="BD23" s="619"/>
      <c r="BE23" s="619"/>
      <c r="BF23" s="619"/>
      <c r="BG23" s="619"/>
      <c r="BH23" s="619"/>
      <c r="BI23" s="619"/>
      <c r="BJ23" s="619"/>
      <c r="BK23" s="619"/>
      <c r="BL23" s="619"/>
      <c r="BM23" s="619"/>
      <c r="BN23" s="619"/>
      <c r="BO23" s="619"/>
      <c r="BP23" s="619"/>
      <c r="BQ23" s="619"/>
      <c r="BR23" s="619"/>
      <c r="BS23" s="619"/>
      <c r="BT23" s="619"/>
      <c r="BU23" s="619"/>
      <c r="BV23" s="619"/>
      <c r="BW23" s="619"/>
      <c r="BX23" s="619"/>
      <c r="BY23" s="619"/>
      <c r="BZ23" s="619"/>
      <c r="CA23" s="619"/>
      <c r="CB23" s="619"/>
      <c r="CC23" s="619"/>
      <c r="CD23" s="619"/>
      <c r="CE23" s="619"/>
      <c r="CF23" s="619"/>
    </row>
    <row r="24" spans="2:84" ht="20.100000000000001" customHeight="1" thickTop="1" x14ac:dyDescent="0.2">
      <c r="C24" s="614"/>
      <c r="D24" s="624"/>
      <c r="E24" s="625"/>
      <c r="F24" s="625"/>
      <c r="G24" s="610"/>
      <c r="H24" s="610"/>
      <c r="I24" s="610"/>
      <c r="J24" s="610"/>
      <c r="K24" s="610"/>
      <c r="L24" s="614"/>
      <c r="M24" s="626"/>
      <c r="N24" s="614"/>
      <c r="O24" s="614"/>
      <c r="P24" s="614"/>
      <c r="Q24" s="614"/>
      <c r="R24" s="614"/>
      <c r="S24" s="614"/>
      <c r="T24" s="614"/>
      <c r="U24" s="614"/>
      <c r="V24" s="614"/>
      <c r="W24" s="614"/>
      <c r="X24" s="614"/>
      <c r="Y24" s="614"/>
      <c r="Z24" s="614"/>
      <c r="AA24" s="614"/>
      <c r="AC24" s="619"/>
      <c r="AH24" s="619"/>
      <c r="AI24" s="619"/>
      <c r="AJ24" s="619"/>
      <c r="AK24" s="619"/>
      <c r="AL24" s="619"/>
      <c r="AM24" s="619"/>
      <c r="AN24" s="619"/>
      <c r="AO24" s="619"/>
      <c r="AP24" s="619"/>
      <c r="AQ24" s="619"/>
      <c r="AR24" s="619"/>
      <c r="AS24" s="619"/>
      <c r="AT24" s="619"/>
      <c r="AU24" s="619"/>
      <c r="AV24" s="619"/>
      <c r="AW24" s="619"/>
      <c r="AX24" s="619"/>
      <c r="AY24" s="619"/>
      <c r="AZ24" s="619"/>
      <c r="BA24" s="619"/>
      <c r="BB24" s="619"/>
      <c r="BC24" s="619"/>
      <c r="BD24" s="619"/>
      <c r="BE24" s="619"/>
      <c r="BF24" s="619"/>
      <c r="BG24" s="619"/>
      <c r="BH24" s="619"/>
      <c r="BI24" s="619"/>
      <c r="BJ24" s="619"/>
      <c r="BK24" s="619"/>
      <c r="BL24" s="619"/>
      <c r="BM24" s="619"/>
      <c r="BN24" s="619"/>
      <c r="BO24" s="619"/>
      <c r="BP24" s="619"/>
      <c r="BQ24" s="619"/>
      <c r="BR24" s="619"/>
      <c r="BS24" s="619"/>
      <c r="BT24" s="619"/>
      <c r="BU24" s="619"/>
      <c r="BV24" s="619"/>
      <c r="BW24" s="619"/>
      <c r="BX24" s="619"/>
      <c r="BY24" s="619"/>
      <c r="BZ24" s="619"/>
      <c r="CA24" s="619"/>
      <c r="CB24" s="619"/>
      <c r="CC24" s="619"/>
      <c r="CD24" s="619"/>
      <c r="CE24" s="619"/>
      <c r="CF24" s="619"/>
    </row>
    <row r="25" spans="2:84" ht="20.100000000000001" customHeight="1" thickBot="1" x14ac:dyDescent="0.25">
      <c r="B25" s="623" t="str">
        <f>PedBerMedIV!Z21</f>
        <v/>
      </c>
      <c r="C25" s="614"/>
      <c r="D25" s="592">
        <v>16</v>
      </c>
      <c r="E25" s="586" t="str">
        <f>PedBerMedIV!AB21</f>
        <v/>
      </c>
      <c r="F25" s="587">
        <f>PedBerMedIV!AC21</f>
        <v>0</v>
      </c>
      <c r="G25" s="576" t="str">
        <f>PedBerMedIV!AD21</f>
        <v/>
      </c>
      <c r="H25" s="576"/>
      <c r="I25" s="576" t="str">
        <f>PedBerMedIV!AF21</f>
        <v/>
      </c>
      <c r="J25" s="576" t="str">
        <f>PedBerMedIV!AG21</f>
        <v/>
      </c>
      <c r="K25" s="576"/>
      <c r="L25" s="576" t="str">
        <f>IF(PedBerMedIV!M21&lt;&gt;0,PedBerMedIV!M21&amp;" ml","")</f>
        <v/>
      </c>
      <c r="M25" s="576"/>
      <c r="N25" s="577"/>
      <c r="O25" s="614"/>
      <c r="P25" s="614"/>
      <c r="Q25" s="614"/>
      <c r="R25" s="614"/>
      <c r="S25" s="614"/>
      <c r="T25" s="614"/>
      <c r="U25" s="614"/>
      <c r="V25" s="614"/>
      <c r="W25" s="614"/>
      <c r="X25" s="614"/>
      <c r="Y25" s="614"/>
      <c r="Z25" s="614"/>
      <c r="AA25" s="614"/>
      <c r="AC25" s="619"/>
      <c r="AD25" s="619"/>
      <c r="AE25" s="619"/>
      <c r="AF25" s="619"/>
      <c r="AG25" s="619"/>
      <c r="AH25" s="619"/>
      <c r="AI25" s="619"/>
      <c r="AJ25" s="619"/>
      <c r="AK25" s="619"/>
      <c r="AL25" s="619"/>
      <c r="AM25" s="619"/>
      <c r="AN25" s="619"/>
      <c r="AO25" s="619"/>
      <c r="AP25" s="619"/>
      <c r="AQ25" s="619"/>
      <c r="AR25" s="619"/>
      <c r="AS25" s="619"/>
      <c r="AT25" s="619"/>
      <c r="AU25" s="619"/>
      <c r="AV25" s="619"/>
      <c r="AW25" s="619"/>
      <c r="AX25" s="619"/>
      <c r="AY25" s="619"/>
      <c r="AZ25" s="619"/>
      <c r="BA25" s="619"/>
      <c r="BB25" s="619"/>
      <c r="BC25" s="619"/>
      <c r="BD25" s="619"/>
      <c r="BE25" s="619"/>
      <c r="BF25" s="619"/>
      <c r="BG25" s="619"/>
      <c r="BH25" s="619"/>
      <c r="BI25" s="619"/>
      <c r="BJ25" s="619"/>
      <c r="BK25" s="619"/>
      <c r="BL25" s="619"/>
      <c r="BM25" s="619"/>
      <c r="BN25" s="619"/>
      <c r="BO25" s="619"/>
      <c r="BP25" s="619"/>
      <c r="BQ25" s="619"/>
      <c r="BR25" s="619"/>
      <c r="BS25" s="619"/>
      <c r="BT25" s="619"/>
      <c r="BU25" s="619"/>
      <c r="BV25" s="619"/>
      <c r="BW25" s="619"/>
      <c r="BX25" s="619"/>
      <c r="BY25" s="619"/>
      <c r="BZ25" s="619"/>
      <c r="CA25" s="619"/>
      <c r="CB25" s="619"/>
      <c r="CC25" s="619"/>
      <c r="CD25" s="619"/>
      <c r="CE25" s="619"/>
      <c r="CF25" s="619"/>
    </row>
    <row r="26" spans="2:84" ht="20.100000000000001" customHeight="1" thickTop="1" thickBot="1" x14ac:dyDescent="0.25">
      <c r="B26" s="623" t="str">
        <f>PedBerMedIV!Z21</f>
        <v/>
      </c>
      <c r="C26" s="614"/>
      <c r="D26" s="592">
        <v>17</v>
      </c>
      <c r="E26" s="588" t="str">
        <f>PedBerMedIV!AB22</f>
        <v/>
      </c>
      <c r="F26" s="589">
        <f>PedBerMedIV!AC22</f>
        <v>0</v>
      </c>
      <c r="G26" s="580" t="str">
        <f>PedBerMedIV!AD22</f>
        <v/>
      </c>
      <c r="H26" s="580"/>
      <c r="I26" s="580" t="str">
        <f>PedBerMedIV!AF22</f>
        <v/>
      </c>
      <c r="J26" s="580" t="str">
        <f>PedBerMedIV!AG22</f>
        <v/>
      </c>
      <c r="K26" s="580"/>
      <c r="L26" s="580" t="str">
        <f>IF(PedBerMedIV!M22&lt;&gt;0,PedBerMedIV!M22&amp;" ml","")</f>
        <v/>
      </c>
      <c r="M26" s="580"/>
      <c r="N26" s="581"/>
      <c r="O26" s="614"/>
      <c r="P26" s="614"/>
      <c r="Q26" s="614"/>
      <c r="R26" s="614"/>
      <c r="S26" s="614"/>
      <c r="T26" s="614"/>
      <c r="U26" s="614"/>
      <c r="V26" s="614"/>
      <c r="W26" s="614"/>
      <c r="X26" s="614"/>
      <c r="Y26" s="614"/>
      <c r="Z26" s="614"/>
      <c r="AA26" s="614"/>
      <c r="AC26" s="619"/>
      <c r="AD26" s="619"/>
      <c r="AE26" s="619"/>
      <c r="AF26" s="619"/>
      <c r="AG26" s="619"/>
      <c r="AH26" s="619"/>
      <c r="AI26" s="619"/>
      <c r="AJ26" s="619"/>
      <c r="AK26" s="619"/>
      <c r="AL26" s="619"/>
      <c r="AM26" s="619"/>
      <c r="AN26" s="619"/>
      <c r="AO26" s="619"/>
      <c r="AP26" s="619"/>
      <c r="AQ26" s="619"/>
      <c r="AR26" s="619"/>
      <c r="AS26" s="619"/>
      <c r="AT26" s="619"/>
      <c r="AU26" s="619"/>
      <c r="AV26" s="619"/>
      <c r="AW26" s="619"/>
      <c r="AX26" s="619"/>
      <c r="AY26" s="619"/>
      <c r="AZ26" s="619"/>
      <c r="BA26" s="619"/>
      <c r="BB26" s="619"/>
      <c r="BC26" s="619"/>
      <c r="BD26" s="619"/>
      <c r="BE26" s="619"/>
      <c r="BF26" s="619"/>
      <c r="BG26" s="619"/>
      <c r="BH26" s="619"/>
      <c r="BI26" s="619"/>
      <c r="BJ26" s="619"/>
      <c r="BK26" s="619"/>
      <c r="BL26" s="619"/>
      <c r="BM26" s="619"/>
      <c r="BN26" s="619"/>
      <c r="BO26" s="619"/>
      <c r="BP26" s="619"/>
      <c r="BQ26" s="619"/>
      <c r="BR26" s="619"/>
      <c r="BS26" s="619"/>
      <c r="BT26" s="619"/>
      <c r="BU26" s="619"/>
      <c r="BV26" s="619"/>
      <c r="BW26" s="619"/>
      <c r="BX26" s="619"/>
      <c r="BY26" s="619"/>
      <c r="BZ26" s="619"/>
      <c r="CA26" s="619"/>
      <c r="CB26" s="619"/>
      <c r="CC26" s="619"/>
      <c r="CD26" s="619"/>
      <c r="CE26" s="619"/>
      <c r="CF26" s="619"/>
    </row>
    <row r="27" spans="2:84" ht="20.100000000000001" customHeight="1" thickTop="1" thickBot="1" x14ac:dyDescent="0.25">
      <c r="B27" s="623" t="str">
        <f>PedBerMedIV!Z22</f>
        <v/>
      </c>
      <c r="C27" s="614"/>
      <c r="D27" s="592">
        <v>18</v>
      </c>
      <c r="E27" s="588" t="str">
        <f>PedBerMedIV!AB23</f>
        <v/>
      </c>
      <c r="F27" s="589">
        <f>PedBerMedIV!AC23</f>
        <v>0</v>
      </c>
      <c r="G27" s="580" t="str">
        <f>PedBerMedIV!AD23</f>
        <v/>
      </c>
      <c r="H27" s="580"/>
      <c r="I27" s="580" t="str">
        <f>PedBerMedIV!AF23</f>
        <v/>
      </c>
      <c r="J27" s="580" t="str">
        <f>PedBerMedIV!AG23</f>
        <v/>
      </c>
      <c r="K27" s="580"/>
      <c r="L27" s="580" t="str">
        <f>IF(PedBerMedIV!M23&lt;&gt;0,PedBerMedIV!M23&amp;" ml","")</f>
        <v/>
      </c>
      <c r="M27" s="580"/>
      <c r="N27" s="581"/>
      <c r="O27" s="614"/>
      <c r="P27" s="614"/>
      <c r="Q27" s="614"/>
      <c r="R27" s="614"/>
      <c r="S27" s="614"/>
      <c r="T27" s="614"/>
      <c r="U27" s="614"/>
      <c r="V27" s="614"/>
      <c r="W27" s="614"/>
      <c r="X27" s="614"/>
      <c r="Y27" s="614"/>
      <c r="Z27" s="614"/>
      <c r="AA27" s="614"/>
      <c r="AC27" s="619"/>
      <c r="AD27" s="619"/>
      <c r="AE27" s="619"/>
      <c r="AF27" s="619"/>
      <c r="AG27" s="619"/>
      <c r="AH27" s="619"/>
      <c r="AI27" s="619"/>
      <c r="AJ27" s="619"/>
      <c r="AK27" s="619"/>
      <c r="AL27" s="619"/>
      <c r="AM27" s="619"/>
      <c r="AN27" s="619"/>
      <c r="AO27" s="619"/>
      <c r="AP27" s="619"/>
      <c r="AQ27" s="619"/>
      <c r="AR27" s="619"/>
      <c r="AS27" s="619"/>
      <c r="AT27" s="619"/>
      <c r="AU27" s="619"/>
      <c r="AV27" s="619"/>
      <c r="AW27" s="619"/>
      <c r="AX27" s="619"/>
      <c r="AY27" s="619"/>
      <c r="AZ27" s="619"/>
      <c r="BA27" s="619"/>
      <c r="BB27" s="619"/>
      <c r="BC27" s="619"/>
      <c r="BD27" s="619"/>
      <c r="BE27" s="619"/>
      <c r="BF27" s="619"/>
      <c r="BG27" s="619"/>
      <c r="BH27" s="619"/>
      <c r="BI27" s="619"/>
      <c r="BJ27" s="619"/>
      <c r="BK27" s="619"/>
      <c r="BL27" s="619"/>
      <c r="BM27" s="619"/>
      <c r="BN27" s="619"/>
      <c r="BO27" s="619"/>
      <c r="BP27" s="619"/>
      <c r="BQ27" s="619"/>
      <c r="BR27" s="619"/>
      <c r="BS27" s="619"/>
      <c r="BT27" s="619"/>
      <c r="BU27" s="619"/>
      <c r="BV27" s="619"/>
      <c r="BW27" s="619"/>
      <c r="BX27" s="619"/>
      <c r="BY27" s="619"/>
      <c r="BZ27" s="619"/>
      <c r="CA27" s="619"/>
      <c r="CB27" s="619"/>
      <c r="CC27" s="619"/>
      <c r="CD27" s="619"/>
      <c r="CE27" s="619"/>
      <c r="CF27" s="619"/>
    </row>
    <row r="28" spans="2:84" ht="20.100000000000001" customHeight="1" thickTop="1" thickBot="1" x14ac:dyDescent="0.25">
      <c r="B28" s="623" t="str">
        <f>PedBerMedIV!Z23</f>
        <v/>
      </c>
      <c r="C28" s="614"/>
      <c r="D28" s="592">
        <v>19</v>
      </c>
      <c r="E28" s="588" t="str">
        <f>PedBerMedIV!AB24</f>
        <v/>
      </c>
      <c r="F28" s="589">
        <f>PedBerMedIV!AC24</f>
        <v>0</v>
      </c>
      <c r="G28" s="580" t="str">
        <f>PedBerMedIV!AD24</f>
        <v/>
      </c>
      <c r="H28" s="580"/>
      <c r="I28" s="580" t="str">
        <f>PedBerMedIV!AF24</f>
        <v/>
      </c>
      <c r="J28" s="580" t="str">
        <f>PedBerMedIV!AG24</f>
        <v/>
      </c>
      <c r="K28" s="580"/>
      <c r="L28" s="580" t="str">
        <f>IF(PedBerMedIV!M24&lt;&gt;0,PedBerMedIV!M24&amp;" ml","")</f>
        <v/>
      </c>
      <c r="M28" s="580"/>
      <c r="N28" s="581"/>
      <c r="O28" s="614"/>
      <c r="P28" s="614"/>
      <c r="Q28" s="614"/>
      <c r="R28" s="614"/>
      <c r="S28" s="614"/>
      <c r="T28" s="614"/>
      <c r="U28" s="614"/>
      <c r="V28" s="614"/>
      <c r="W28" s="614"/>
      <c r="X28" s="614"/>
      <c r="Y28" s="614"/>
      <c r="Z28" s="614"/>
      <c r="AA28" s="614"/>
      <c r="AC28" s="619"/>
      <c r="AD28" s="619"/>
      <c r="AE28" s="619"/>
      <c r="AF28" s="619"/>
      <c r="AG28" s="619"/>
      <c r="AH28" s="619"/>
      <c r="AI28" s="619"/>
      <c r="AJ28" s="619"/>
      <c r="AK28" s="619"/>
      <c r="AL28" s="619"/>
      <c r="AM28" s="619"/>
      <c r="AN28" s="619"/>
      <c r="AO28" s="619"/>
      <c r="AP28" s="619"/>
      <c r="AQ28" s="619"/>
      <c r="AR28" s="619"/>
      <c r="AS28" s="619"/>
      <c r="AT28" s="619"/>
      <c r="AU28" s="619"/>
      <c r="AV28" s="619"/>
      <c r="AW28" s="619"/>
      <c r="AX28" s="619"/>
      <c r="AY28" s="619"/>
      <c r="AZ28" s="619"/>
      <c r="BA28" s="619"/>
      <c r="BB28" s="619"/>
      <c r="BC28" s="619"/>
      <c r="BD28" s="619"/>
      <c r="BE28" s="619"/>
      <c r="BF28" s="619"/>
      <c r="BG28" s="619"/>
      <c r="BH28" s="619"/>
      <c r="BI28" s="619"/>
      <c r="BJ28" s="619"/>
      <c r="BK28" s="619"/>
      <c r="BL28" s="619"/>
      <c r="BM28" s="619"/>
      <c r="BN28" s="619"/>
      <c r="BO28" s="619"/>
      <c r="BP28" s="619"/>
      <c r="BQ28" s="619"/>
      <c r="BR28" s="619"/>
      <c r="BS28" s="619"/>
      <c r="BT28" s="619"/>
      <c r="BU28" s="619"/>
      <c r="BV28" s="619"/>
      <c r="BW28" s="619"/>
      <c r="BX28" s="619"/>
      <c r="BY28" s="619"/>
      <c r="BZ28" s="619"/>
      <c r="CA28" s="619"/>
      <c r="CB28" s="619"/>
      <c r="CC28" s="619"/>
      <c r="CD28" s="619"/>
      <c r="CE28" s="619"/>
      <c r="CF28" s="619"/>
    </row>
    <row r="29" spans="2:84" ht="20.100000000000001" customHeight="1" thickTop="1" thickBot="1" x14ac:dyDescent="0.25">
      <c r="B29" s="623" t="str">
        <f>PedBerMedIV!Z24</f>
        <v/>
      </c>
      <c r="C29" s="614"/>
      <c r="D29" s="592">
        <v>20</v>
      </c>
      <c r="E29" s="590" t="str">
        <f>PedBerMedIV!AB25</f>
        <v/>
      </c>
      <c r="F29" s="591">
        <f>PedBerMedIV!AC25</f>
        <v>0</v>
      </c>
      <c r="G29" s="584" t="str">
        <f>PedBerMedIV!AD25</f>
        <v/>
      </c>
      <c r="H29" s="584"/>
      <c r="I29" s="584" t="str">
        <f>PedBerMedIV!AF25</f>
        <v/>
      </c>
      <c r="J29" s="584" t="str">
        <f>PedBerMedIV!AG25</f>
        <v/>
      </c>
      <c r="K29" s="584"/>
      <c r="L29" s="584" t="str">
        <f>IF(PedBerMedIV!M25&lt;&gt;0,PedBerMedIV!M25&amp;" ml","")</f>
        <v/>
      </c>
      <c r="M29" s="584"/>
      <c r="N29" s="585"/>
      <c r="O29" s="614"/>
      <c r="P29" s="614"/>
      <c r="Q29" s="614"/>
      <c r="R29" s="614"/>
      <c r="S29" s="614"/>
      <c r="T29" s="614"/>
      <c r="U29" s="614"/>
      <c r="V29" s="614"/>
      <c r="W29" s="614"/>
      <c r="X29" s="614"/>
      <c r="Y29" s="614"/>
      <c r="Z29" s="614"/>
      <c r="AA29" s="614"/>
      <c r="AC29" s="619"/>
      <c r="AD29" s="619"/>
      <c r="AE29" s="619"/>
      <c r="AF29" s="619"/>
      <c r="AG29" s="619"/>
      <c r="AH29" s="619"/>
      <c r="AI29" s="619"/>
      <c r="AJ29" s="619"/>
      <c r="AK29" s="619"/>
      <c r="AL29" s="619"/>
      <c r="AM29" s="619"/>
      <c r="AN29" s="619"/>
      <c r="AO29" s="619"/>
      <c r="AP29" s="619"/>
      <c r="AQ29" s="619"/>
      <c r="AR29" s="619"/>
      <c r="AS29" s="619"/>
      <c r="AT29" s="619"/>
      <c r="AU29" s="619"/>
      <c r="AV29" s="619"/>
      <c r="AW29" s="619"/>
      <c r="AX29" s="619"/>
      <c r="AY29" s="619"/>
      <c r="AZ29" s="619"/>
      <c r="BA29" s="619"/>
      <c r="BB29" s="619"/>
      <c r="BC29" s="619"/>
      <c r="BD29" s="619"/>
      <c r="BE29" s="619"/>
      <c r="BF29" s="619"/>
      <c r="BG29" s="619"/>
      <c r="BH29" s="619"/>
      <c r="BI29" s="619"/>
      <c r="BJ29" s="619"/>
      <c r="BK29" s="619"/>
      <c r="BL29" s="619"/>
      <c r="BM29" s="619"/>
      <c r="BN29" s="619"/>
      <c r="BO29" s="619"/>
      <c r="BP29" s="619"/>
      <c r="BQ29" s="619"/>
      <c r="BR29" s="619"/>
      <c r="BS29" s="619"/>
      <c r="BT29" s="619"/>
      <c r="BU29" s="619"/>
      <c r="BV29" s="619"/>
      <c r="BW29" s="619"/>
      <c r="BX29" s="619"/>
      <c r="BY29" s="619"/>
      <c r="BZ29" s="619"/>
      <c r="CA29" s="619"/>
      <c r="CB29" s="619"/>
      <c r="CC29" s="619"/>
      <c r="CD29" s="619"/>
      <c r="CE29" s="619"/>
      <c r="CF29" s="619"/>
    </row>
    <row r="30" spans="2:84" ht="13.5" thickTop="1" x14ac:dyDescent="0.2">
      <c r="C30" s="622"/>
      <c r="D30" s="622"/>
      <c r="E30" s="622"/>
      <c r="F30" s="622"/>
      <c r="G30" s="622"/>
      <c r="H30" s="622"/>
      <c r="I30" s="622"/>
      <c r="J30" s="622"/>
      <c r="K30" s="622"/>
      <c r="L30" s="622"/>
      <c r="M30" s="622"/>
      <c r="N30" s="622"/>
      <c r="O30" s="614"/>
      <c r="P30" s="622"/>
      <c r="Q30" s="622"/>
      <c r="R30" s="622"/>
      <c r="S30" s="622"/>
      <c r="T30" s="622"/>
      <c r="U30" s="622"/>
      <c r="V30" s="622"/>
      <c r="W30" s="622"/>
      <c r="X30" s="622"/>
      <c r="Y30" s="622"/>
      <c r="Z30" s="622"/>
      <c r="AA30" s="622"/>
      <c r="AC30" s="619"/>
      <c r="AD30" s="619"/>
      <c r="AE30" s="619"/>
      <c r="AF30" s="619"/>
      <c r="AG30" s="619"/>
      <c r="AH30" s="619"/>
      <c r="AI30" s="619"/>
      <c r="AJ30" s="619"/>
      <c r="AK30" s="619"/>
      <c r="AL30" s="619"/>
      <c r="AM30" s="619"/>
      <c r="AN30" s="619"/>
      <c r="AO30" s="619"/>
      <c r="AP30" s="619"/>
      <c r="AQ30" s="619"/>
      <c r="AR30" s="619"/>
      <c r="AS30" s="619"/>
      <c r="AT30" s="619"/>
      <c r="AU30" s="619"/>
      <c r="AV30" s="619"/>
      <c r="AW30" s="619"/>
      <c r="AX30" s="619"/>
      <c r="AY30" s="619"/>
      <c r="AZ30" s="619"/>
      <c r="BA30" s="619"/>
      <c r="BB30" s="619"/>
      <c r="BC30" s="619"/>
      <c r="BD30" s="619"/>
      <c r="BE30" s="619"/>
      <c r="BF30" s="619"/>
      <c r="BG30" s="619"/>
      <c r="BH30" s="619"/>
      <c r="BI30" s="619"/>
      <c r="BJ30" s="619"/>
      <c r="BK30" s="619"/>
      <c r="BL30" s="619"/>
      <c r="BM30" s="619"/>
      <c r="BN30" s="619"/>
      <c r="BO30" s="619"/>
      <c r="BP30" s="619"/>
      <c r="BQ30" s="619"/>
      <c r="BR30" s="619"/>
      <c r="BS30" s="619"/>
      <c r="BT30" s="619"/>
      <c r="BU30" s="619"/>
      <c r="BV30" s="619"/>
      <c r="BW30" s="619"/>
      <c r="BX30" s="619"/>
      <c r="BY30" s="619"/>
      <c r="BZ30" s="619"/>
      <c r="CA30" s="619"/>
      <c r="CB30" s="619"/>
      <c r="CC30" s="619"/>
      <c r="CD30" s="619"/>
      <c r="CE30" s="619"/>
      <c r="CF30" s="619"/>
    </row>
    <row r="31" spans="2:84" x14ac:dyDescent="0.2">
      <c r="C31" s="622"/>
      <c r="D31" s="606"/>
      <c r="E31" s="607" t="str">
        <f>PedGuiEntTPN!C41</f>
        <v>Vocht</v>
      </c>
      <c r="F31" s="607" t="str">
        <f>PedGuiEntTPN!E41</f>
        <v>0 ml/kg</v>
      </c>
      <c r="G31" s="607" t="str">
        <f ca="1">PedGuiEntTPN!F41</f>
        <v>150 ml/kg</v>
      </c>
      <c r="H31" s="607"/>
      <c r="I31" s="607" t="str">
        <f>PedGuiEntTPN!I41</f>
        <v>Eiwit</v>
      </c>
      <c r="J31" s="607" t="str">
        <f>PedGuiEntTPN!J41</f>
        <v>0  gram/kg</v>
      </c>
      <c r="K31" s="607" t="str">
        <f>PedGuiEntTPN!K41</f>
        <v>2-2,5 g/kg</v>
      </c>
      <c r="L31" s="607"/>
      <c r="M31" s="606"/>
      <c r="N31" s="606"/>
      <c r="O31" s="627"/>
      <c r="P31" s="627"/>
      <c r="Q31" s="622"/>
      <c r="R31" s="622"/>
      <c r="S31" s="622"/>
      <c r="T31" s="622"/>
      <c r="U31" s="622"/>
      <c r="V31" s="622"/>
      <c r="W31" s="622"/>
      <c r="X31" s="622"/>
      <c r="Y31" s="622"/>
      <c r="Z31" s="622"/>
      <c r="AA31" s="619"/>
      <c r="AB31" s="619"/>
      <c r="AC31" s="619"/>
      <c r="AD31" s="619"/>
      <c r="AE31" s="619"/>
      <c r="AF31" s="619"/>
      <c r="AG31" s="619"/>
      <c r="AH31" s="619"/>
      <c r="AI31" s="619"/>
      <c r="AJ31" s="619"/>
      <c r="AK31" s="619"/>
      <c r="AL31" s="619"/>
      <c r="AM31" s="619"/>
      <c r="AN31" s="619"/>
      <c r="AO31" s="619"/>
      <c r="AP31" s="619"/>
      <c r="AQ31" s="619"/>
      <c r="AR31" s="619"/>
      <c r="AS31" s="619"/>
      <c r="AT31" s="619"/>
      <c r="AU31" s="619"/>
      <c r="AV31" s="619"/>
      <c r="AW31" s="619"/>
      <c r="AX31" s="619"/>
      <c r="AY31" s="619"/>
      <c r="AZ31" s="619"/>
      <c r="BA31" s="619"/>
      <c r="BB31" s="619"/>
      <c r="BC31" s="619"/>
      <c r="BD31" s="619"/>
      <c r="BE31" s="619"/>
      <c r="BF31" s="619"/>
      <c r="BG31" s="619"/>
      <c r="BH31" s="619"/>
      <c r="BI31" s="619"/>
      <c r="BJ31" s="619"/>
      <c r="BK31" s="619"/>
      <c r="BL31" s="619"/>
      <c r="BM31" s="619"/>
      <c r="BN31" s="619"/>
      <c r="BO31" s="619"/>
      <c r="BP31" s="619"/>
      <c r="BQ31" s="619"/>
      <c r="BR31" s="619"/>
      <c r="BS31" s="619"/>
      <c r="BT31" s="619"/>
      <c r="BU31" s="619"/>
      <c r="BV31" s="619"/>
      <c r="BW31" s="619"/>
      <c r="BX31" s="619"/>
      <c r="BY31" s="619"/>
      <c r="BZ31" s="619"/>
      <c r="CA31" s="619"/>
      <c r="CB31" s="619"/>
      <c r="CC31" s="619"/>
      <c r="CD31" s="619"/>
      <c r="CE31" s="619"/>
    </row>
    <row r="32" spans="2:84" x14ac:dyDescent="0.2">
      <c r="C32" s="622"/>
      <c r="D32" s="606"/>
      <c r="E32" s="607" t="str">
        <f>PedGuiEntTPN!C42</f>
        <v>Calorieen</v>
      </c>
      <c r="F32" s="607" t="str">
        <f>PedGuiEntTPN!E42</f>
        <v>0 kCal/kg</v>
      </c>
      <c r="G32" s="607" t="str">
        <f ca="1">PedGuiEntTPN!F42</f>
        <v>0 kCal/kg</v>
      </c>
      <c r="H32" s="607"/>
      <c r="I32" s="607" t="str">
        <f>PedGuiEntTPN!I42</f>
        <v>Vet</v>
      </c>
      <c r="J32" s="607" t="str">
        <f>PedGuiEntTPN!J42</f>
        <v>0 gram/kg</v>
      </c>
      <c r="K32" s="607" t="str">
        <f>PedGuiEntTPN!K42</f>
        <v>4 g/kg</v>
      </c>
      <c r="L32" s="607"/>
      <c r="M32" s="607"/>
      <c r="N32" s="607"/>
      <c r="O32" s="628"/>
      <c r="P32" s="628"/>
      <c r="Q32" s="614"/>
      <c r="R32" s="614"/>
      <c r="S32" s="614"/>
      <c r="T32" s="614"/>
      <c r="U32" s="614"/>
      <c r="V32" s="614"/>
      <c r="W32" s="614"/>
      <c r="X32" s="614"/>
      <c r="Y32" s="614"/>
      <c r="Z32" s="614"/>
      <c r="AA32" s="619"/>
      <c r="AB32" s="619"/>
      <c r="AC32" s="619"/>
      <c r="AD32" s="619"/>
      <c r="AE32" s="619"/>
      <c r="AF32" s="619"/>
      <c r="AG32" s="619"/>
      <c r="AH32" s="619"/>
      <c r="AI32" s="619"/>
      <c r="AJ32" s="619"/>
      <c r="AK32" s="619"/>
      <c r="AL32" s="619"/>
      <c r="AM32" s="619"/>
      <c r="AN32" s="619"/>
      <c r="AO32" s="619"/>
      <c r="AP32" s="619"/>
      <c r="AQ32" s="619"/>
      <c r="AR32" s="619"/>
      <c r="AS32" s="619"/>
      <c r="AT32" s="619"/>
      <c r="AU32" s="619"/>
      <c r="AV32" s="619"/>
      <c r="AW32" s="619"/>
      <c r="AX32" s="619"/>
      <c r="AY32" s="619"/>
      <c r="AZ32" s="619"/>
      <c r="BA32" s="619"/>
      <c r="BB32" s="619"/>
      <c r="BC32" s="619"/>
      <c r="BD32" s="619"/>
      <c r="BE32" s="619"/>
      <c r="BF32" s="619"/>
      <c r="BG32" s="619"/>
      <c r="BH32" s="619"/>
      <c r="BI32" s="619"/>
      <c r="BJ32" s="619"/>
      <c r="BK32" s="619"/>
      <c r="BL32" s="619"/>
      <c r="BM32" s="619"/>
      <c r="BN32" s="619"/>
      <c r="BO32" s="619"/>
      <c r="BP32" s="619"/>
      <c r="BQ32" s="619"/>
      <c r="BR32" s="619"/>
      <c r="BS32" s="619"/>
      <c r="BT32" s="619"/>
      <c r="BU32" s="619"/>
      <c r="BV32" s="619"/>
      <c r="BW32" s="619"/>
      <c r="BX32" s="619"/>
      <c r="BY32" s="619"/>
      <c r="BZ32" s="619"/>
      <c r="CA32" s="619"/>
      <c r="CB32" s="619"/>
      <c r="CC32" s="619"/>
      <c r="CD32" s="619"/>
      <c r="CE32" s="619"/>
    </row>
    <row r="33" spans="3:84" x14ac:dyDescent="0.2">
      <c r="C33" s="622"/>
      <c r="D33" s="606"/>
      <c r="E33" s="607" t="str">
        <f>PedGuiEntTPN!C43</f>
        <v>Glucose/KH</v>
      </c>
      <c r="F33" s="607" t="str">
        <f>PedGuiEntTPN!E43</f>
        <v>0 g/kg</v>
      </c>
      <c r="G33" s="607" t="str">
        <f>PedGuiEntTPN!F43</f>
        <v>3,6 g/kg</v>
      </c>
      <c r="H33" s="607"/>
      <c r="I33" s="607" t="str">
        <f>PedGuiEntTPN!I43</f>
        <v>Calcium</v>
      </c>
      <c r="J33" s="607" t="str">
        <f>PedGuiEntTPN!J43</f>
        <v>0 mmol/kg</v>
      </c>
      <c r="K33" s="607" t="str">
        <f>PedGuiEntTPN!K43</f>
        <v>0,2-0,8 mmol/kg (3-10 kg:0,8; 10-20 kg:0,5; &gt; 20 kg:0,2 mmol/kg)</v>
      </c>
      <c r="L33" s="607"/>
      <c r="M33" s="607"/>
      <c r="N33" s="607"/>
      <c r="O33" s="628"/>
      <c r="P33" s="628"/>
      <c r="Q33" s="614"/>
      <c r="R33" s="614"/>
      <c r="S33" s="614"/>
      <c r="T33" s="614"/>
      <c r="U33" s="614"/>
      <c r="V33" s="614"/>
      <c r="W33" s="614"/>
      <c r="X33" s="614"/>
      <c r="Y33" s="614"/>
      <c r="Z33" s="614"/>
      <c r="AA33" s="619"/>
      <c r="AB33" s="619"/>
      <c r="AC33" s="619"/>
      <c r="AD33" s="619"/>
      <c r="AE33" s="619"/>
      <c r="AF33" s="619"/>
      <c r="AG33" s="619"/>
      <c r="AH33" s="619"/>
      <c r="AI33" s="619"/>
      <c r="AJ33" s="619"/>
      <c r="AK33" s="619"/>
      <c r="AL33" s="619"/>
      <c r="AM33" s="619"/>
      <c r="AN33" s="619"/>
      <c r="AO33" s="619"/>
      <c r="AP33" s="619"/>
      <c r="AQ33" s="619"/>
      <c r="AR33" s="619"/>
      <c r="AS33" s="619"/>
      <c r="AT33" s="619"/>
      <c r="AU33" s="619"/>
      <c r="AV33" s="619"/>
      <c r="AW33" s="619"/>
      <c r="AX33" s="619"/>
      <c r="AY33" s="619"/>
      <c r="AZ33" s="619"/>
      <c r="BA33" s="619"/>
      <c r="BB33" s="619"/>
      <c r="BC33" s="619"/>
      <c r="BD33" s="619"/>
      <c r="BE33" s="619"/>
      <c r="BF33" s="619"/>
      <c r="BG33" s="619"/>
      <c r="BH33" s="619"/>
      <c r="BI33" s="619"/>
      <c r="BJ33" s="619"/>
      <c r="BK33" s="619"/>
      <c r="BL33" s="619"/>
      <c r="BM33" s="619"/>
      <c r="BN33" s="619"/>
      <c r="BO33" s="619"/>
      <c r="BP33" s="619"/>
      <c r="BQ33" s="619"/>
      <c r="BR33" s="619"/>
      <c r="BS33" s="619"/>
      <c r="BT33" s="619"/>
      <c r="BU33" s="619"/>
      <c r="BV33" s="619"/>
      <c r="BW33" s="619"/>
      <c r="BX33" s="619"/>
      <c r="BY33" s="619"/>
      <c r="BZ33" s="619"/>
      <c r="CA33" s="619"/>
      <c r="CB33" s="619"/>
      <c r="CC33" s="619"/>
      <c r="CD33" s="619"/>
      <c r="CE33" s="619"/>
    </row>
    <row r="34" spans="3:84" x14ac:dyDescent="0.2">
      <c r="C34" s="622"/>
      <c r="D34" s="606"/>
      <c r="E34" s="607" t="str">
        <f>PedGuiEntTPN!C44</f>
        <v xml:space="preserve">Natrium </v>
      </c>
      <c r="F34" s="607" t="str">
        <f>PedGuiEntTPN!E44</f>
        <v>0 mmol/kg</v>
      </c>
      <c r="G34" s="607" t="str">
        <f>PedGuiEntTPN!F44</f>
        <v>2-4 mmol/kg</v>
      </c>
      <c r="H34" s="607"/>
      <c r="I34" s="607" t="str">
        <f>PedGuiEntTPN!I44</f>
        <v>Magnesium</v>
      </c>
      <c r="J34" s="607" t="str">
        <f>PedGuiEntTPN!J44</f>
        <v>0 mmol/kg</v>
      </c>
      <c r="K34" s="607" t="str">
        <f>PedGuiEntTPN!K44</f>
        <v>0,1-0,3 mmol/kg</v>
      </c>
      <c r="L34" s="607"/>
      <c r="M34" s="607"/>
      <c r="N34" s="607"/>
      <c r="O34" s="628"/>
      <c r="P34" s="628"/>
      <c r="Q34" s="614"/>
      <c r="R34" s="614"/>
      <c r="S34" s="614"/>
      <c r="T34" s="614"/>
      <c r="U34" s="614"/>
      <c r="V34" s="614"/>
      <c r="W34" s="614"/>
      <c r="X34" s="614"/>
      <c r="Y34" s="614"/>
      <c r="Z34" s="614"/>
      <c r="AA34" s="619"/>
      <c r="AB34" s="619"/>
      <c r="AC34" s="619"/>
      <c r="AD34" s="619"/>
      <c r="AE34" s="619"/>
      <c r="AF34" s="619"/>
      <c r="AG34" s="619"/>
      <c r="AH34" s="619"/>
      <c r="AI34" s="619"/>
      <c r="AJ34" s="619"/>
      <c r="AK34" s="619"/>
      <c r="AL34" s="619"/>
      <c r="AM34" s="619"/>
      <c r="AN34" s="619"/>
      <c r="AO34" s="619"/>
      <c r="AP34" s="619"/>
      <c r="AQ34" s="619"/>
      <c r="AR34" s="619"/>
      <c r="AS34" s="619"/>
      <c r="AT34" s="619"/>
      <c r="AU34" s="619"/>
      <c r="AV34" s="619"/>
      <c r="AW34" s="619"/>
      <c r="AX34" s="619"/>
      <c r="AY34" s="619"/>
      <c r="AZ34" s="619"/>
      <c r="BA34" s="619"/>
      <c r="BB34" s="619"/>
      <c r="BC34" s="619"/>
      <c r="BD34" s="619"/>
      <c r="BE34" s="619"/>
      <c r="BF34" s="619"/>
      <c r="BG34" s="619"/>
      <c r="BH34" s="619"/>
      <c r="BI34" s="619"/>
      <c r="BJ34" s="619"/>
      <c r="BK34" s="619"/>
      <c r="BL34" s="619"/>
      <c r="BM34" s="619"/>
      <c r="BN34" s="619"/>
      <c r="BO34" s="619"/>
      <c r="BP34" s="619"/>
      <c r="BQ34" s="619"/>
      <c r="BR34" s="619"/>
      <c r="BS34" s="619"/>
      <c r="BT34" s="619"/>
      <c r="BU34" s="619"/>
      <c r="BV34" s="619"/>
      <c r="BW34" s="619"/>
      <c r="BX34" s="619"/>
      <c r="BY34" s="619"/>
      <c r="BZ34" s="619"/>
      <c r="CA34" s="619"/>
      <c r="CB34" s="619"/>
      <c r="CC34" s="619"/>
      <c r="CD34" s="619"/>
      <c r="CE34" s="619"/>
    </row>
    <row r="35" spans="3:84" x14ac:dyDescent="0.2">
      <c r="C35" s="622"/>
      <c r="D35" s="606"/>
      <c r="E35" s="607" t="str">
        <f>PedGuiEntTPN!C45</f>
        <v>Kalium</v>
      </c>
      <c r="F35" s="607" t="str">
        <f>PedGuiEntTPN!E45</f>
        <v>0 mmol/kg</v>
      </c>
      <c r="G35" s="607" t="str">
        <f>PedGuiEntTPN!F45</f>
        <v>1-2 mmol/kg</v>
      </c>
      <c r="H35" s="607"/>
      <c r="I35" s="607" t="str">
        <f>PedGuiEntTPN!I45</f>
        <v>Fosfaat</v>
      </c>
      <c r="J35" s="607" t="str">
        <f>PedGuiEntTPN!J45</f>
        <v>0 mmol/kg</v>
      </c>
      <c r="K35" s="607" t="str">
        <f>PedGuiEntTPN!K45</f>
        <v>0,75 mmol/kg</v>
      </c>
      <c r="L35" s="607"/>
      <c r="M35" s="607"/>
      <c r="N35" s="607"/>
      <c r="O35" s="628"/>
      <c r="P35" s="628"/>
      <c r="Q35" s="614"/>
      <c r="R35" s="614"/>
      <c r="S35" s="614"/>
      <c r="T35" s="614"/>
      <c r="U35" s="614"/>
      <c r="V35" s="614"/>
      <c r="W35" s="614"/>
      <c r="X35" s="614"/>
      <c r="Y35" s="614"/>
      <c r="Z35" s="614"/>
      <c r="AA35" s="619"/>
      <c r="AB35" s="619"/>
      <c r="AC35" s="619"/>
      <c r="AD35" s="619"/>
      <c r="AE35" s="619"/>
      <c r="AF35" s="619"/>
      <c r="AG35" s="619"/>
      <c r="AH35" s="619"/>
      <c r="AI35" s="619"/>
      <c r="AJ35" s="619"/>
      <c r="AK35" s="619"/>
      <c r="AL35" s="619"/>
      <c r="AM35" s="619"/>
      <c r="AN35" s="619"/>
      <c r="AO35" s="619"/>
      <c r="AP35" s="619"/>
      <c r="AQ35" s="619"/>
      <c r="AR35" s="619"/>
      <c r="AS35" s="619"/>
      <c r="AT35" s="619"/>
      <c r="AU35" s="619"/>
      <c r="AV35" s="619"/>
      <c r="AW35" s="619"/>
      <c r="AX35" s="619"/>
      <c r="AY35" s="619"/>
      <c r="AZ35" s="619"/>
      <c r="BA35" s="619"/>
      <c r="BB35" s="619"/>
      <c r="BC35" s="619"/>
      <c r="BD35" s="619"/>
      <c r="BE35" s="619"/>
      <c r="BF35" s="619"/>
      <c r="BG35" s="619"/>
      <c r="BH35" s="619"/>
      <c r="BI35" s="619"/>
      <c r="BJ35" s="619"/>
      <c r="BK35" s="619"/>
      <c r="BL35" s="619"/>
      <c r="BM35" s="619"/>
      <c r="BN35" s="619"/>
      <c r="BO35" s="619"/>
      <c r="BP35" s="619"/>
      <c r="BQ35" s="619"/>
      <c r="BR35" s="619"/>
      <c r="BS35" s="619"/>
      <c r="BT35" s="619"/>
      <c r="BU35" s="619"/>
      <c r="BV35" s="619"/>
      <c r="BW35" s="619"/>
      <c r="BX35" s="619"/>
      <c r="BY35" s="619"/>
      <c r="BZ35" s="619"/>
      <c r="CA35" s="619"/>
      <c r="CB35" s="619"/>
      <c r="CC35" s="619"/>
      <c r="CD35" s="619"/>
      <c r="CE35" s="619"/>
    </row>
    <row r="36" spans="3:84" x14ac:dyDescent="0.2">
      <c r="C36" s="622"/>
      <c r="D36" s="622"/>
      <c r="E36" s="622"/>
      <c r="F36" s="622"/>
      <c r="G36" s="622"/>
      <c r="H36" s="622"/>
      <c r="I36" s="622"/>
      <c r="J36" s="622"/>
      <c r="K36" s="622"/>
      <c r="L36" s="614"/>
      <c r="M36" s="614"/>
      <c r="N36" s="614"/>
      <c r="O36" s="614"/>
      <c r="P36" s="614"/>
      <c r="Q36" s="614"/>
      <c r="R36" s="614"/>
      <c r="S36" s="614"/>
      <c r="T36" s="614"/>
      <c r="U36" s="614"/>
      <c r="V36" s="614"/>
      <c r="W36" s="614"/>
      <c r="X36" s="614"/>
      <c r="Y36" s="614"/>
      <c r="Z36" s="614"/>
      <c r="AA36" s="614"/>
      <c r="AB36" s="619"/>
      <c r="AC36" s="619"/>
      <c r="AD36" s="619"/>
      <c r="AE36" s="619"/>
      <c r="AF36" s="619"/>
      <c r="AG36" s="619"/>
      <c r="AH36" s="619"/>
      <c r="AI36" s="619"/>
      <c r="AJ36" s="619"/>
      <c r="AK36" s="619"/>
      <c r="AL36" s="619"/>
      <c r="AM36" s="619"/>
      <c r="AN36" s="619"/>
      <c r="AO36" s="619"/>
      <c r="AP36" s="619"/>
      <c r="AQ36" s="619"/>
      <c r="AR36" s="619"/>
      <c r="AS36" s="619"/>
      <c r="AT36" s="619"/>
      <c r="AU36" s="619"/>
      <c r="AV36" s="619"/>
      <c r="AW36" s="619"/>
      <c r="AX36" s="619"/>
      <c r="AY36" s="619"/>
      <c r="AZ36" s="619"/>
      <c r="BA36" s="619"/>
      <c r="BB36" s="619"/>
      <c r="BC36" s="619"/>
      <c r="BD36" s="619"/>
      <c r="BE36" s="619"/>
      <c r="BF36" s="619"/>
      <c r="BG36" s="619"/>
      <c r="BH36" s="619"/>
      <c r="BI36" s="619"/>
      <c r="BJ36" s="619"/>
      <c r="BK36" s="619"/>
      <c r="BL36" s="619"/>
      <c r="BM36" s="619"/>
      <c r="BN36" s="619"/>
      <c r="BO36" s="619"/>
      <c r="BP36" s="619"/>
      <c r="BQ36" s="619"/>
      <c r="BR36" s="619"/>
      <c r="BS36" s="619"/>
      <c r="BT36" s="619"/>
      <c r="BU36" s="619"/>
      <c r="BV36" s="619"/>
      <c r="BW36" s="619"/>
      <c r="BX36" s="619"/>
      <c r="BY36" s="619"/>
      <c r="BZ36" s="619"/>
      <c r="CA36" s="619"/>
      <c r="CB36" s="619"/>
      <c r="CC36" s="619"/>
      <c r="CD36" s="619"/>
      <c r="CE36" s="619"/>
      <c r="CF36" s="619"/>
    </row>
    <row r="37" spans="3:84" x14ac:dyDescent="0.2">
      <c r="C37" s="622"/>
      <c r="D37" s="594"/>
      <c r="E37" s="593" t="s">
        <v>285</v>
      </c>
      <c r="F37" s="869">
        <f>PedBerMedIV!C28</f>
        <v>0</v>
      </c>
      <c r="G37" s="870"/>
      <c r="H37" s="870"/>
      <c r="I37" s="870"/>
      <c r="J37" s="870"/>
      <c r="K37" s="870"/>
      <c r="L37" s="870"/>
      <c r="M37" s="870"/>
      <c r="N37" s="870"/>
      <c r="O37" s="622"/>
      <c r="P37" s="622"/>
      <c r="Q37" s="622"/>
      <c r="R37" s="622"/>
      <c r="S37" s="622"/>
      <c r="T37" s="622"/>
      <c r="U37" s="622"/>
      <c r="V37" s="622"/>
      <c r="W37" s="622"/>
      <c r="X37" s="622"/>
      <c r="Y37" s="622"/>
      <c r="Z37" s="622"/>
      <c r="AA37" s="622"/>
      <c r="AB37" s="619"/>
      <c r="AC37" s="619"/>
      <c r="AD37" s="619"/>
      <c r="AE37" s="619"/>
      <c r="AF37" s="619"/>
      <c r="AG37" s="619"/>
      <c r="AH37" s="619"/>
      <c r="AI37" s="619"/>
      <c r="AJ37" s="619"/>
      <c r="AK37" s="619"/>
      <c r="AL37" s="619"/>
      <c r="AM37" s="619"/>
      <c r="AN37" s="619"/>
      <c r="AO37" s="619"/>
      <c r="AP37" s="619"/>
      <c r="AQ37" s="619"/>
      <c r="AR37" s="619"/>
      <c r="AS37" s="619"/>
      <c r="AT37" s="619"/>
      <c r="AU37" s="619"/>
      <c r="AV37" s="619"/>
      <c r="AW37" s="619"/>
      <c r="AX37" s="619"/>
      <c r="AY37" s="619"/>
      <c r="AZ37" s="619"/>
      <c r="BA37" s="619"/>
      <c r="BB37" s="619"/>
      <c r="BC37" s="619"/>
      <c r="BD37" s="619"/>
      <c r="BE37" s="619"/>
      <c r="BF37" s="619"/>
      <c r="BG37" s="619"/>
      <c r="BH37" s="619"/>
      <c r="BI37" s="619"/>
      <c r="BJ37" s="619"/>
      <c r="BK37" s="619"/>
      <c r="BL37" s="619"/>
      <c r="BM37" s="619"/>
      <c r="BN37" s="619"/>
      <c r="BO37" s="619"/>
      <c r="BP37" s="619"/>
      <c r="BQ37" s="619"/>
      <c r="BR37" s="619"/>
      <c r="BS37" s="619"/>
      <c r="BT37" s="619"/>
      <c r="BU37" s="619"/>
      <c r="BV37" s="619"/>
      <c r="BW37" s="619"/>
      <c r="BX37" s="619"/>
      <c r="BY37" s="619"/>
      <c r="BZ37" s="619"/>
      <c r="CA37" s="619"/>
      <c r="CB37" s="619"/>
      <c r="CC37" s="619"/>
      <c r="CD37" s="619"/>
      <c r="CE37" s="619"/>
      <c r="CF37" s="619"/>
    </row>
    <row r="38" spans="3:84" x14ac:dyDescent="0.2">
      <c r="C38" s="622"/>
      <c r="D38" s="594"/>
      <c r="E38" s="595"/>
      <c r="F38" s="870"/>
      <c r="G38" s="870"/>
      <c r="H38" s="870"/>
      <c r="I38" s="870"/>
      <c r="J38" s="870"/>
      <c r="K38" s="870"/>
      <c r="L38" s="870"/>
      <c r="M38" s="870"/>
      <c r="N38" s="870"/>
      <c r="O38" s="622"/>
      <c r="P38" s="622"/>
      <c r="Q38" s="622"/>
      <c r="R38" s="622"/>
      <c r="S38" s="622"/>
      <c r="T38" s="622"/>
      <c r="U38" s="622"/>
      <c r="V38" s="622"/>
      <c r="W38" s="622"/>
      <c r="X38" s="622"/>
      <c r="Y38" s="622"/>
      <c r="Z38" s="622"/>
      <c r="AA38" s="622"/>
      <c r="AB38" s="619"/>
      <c r="AC38" s="619"/>
      <c r="AD38" s="619"/>
      <c r="AE38" s="619"/>
      <c r="AF38" s="619"/>
      <c r="AG38" s="619"/>
      <c r="AH38" s="619"/>
      <c r="AI38" s="619"/>
      <c r="AJ38" s="619"/>
      <c r="AK38" s="619"/>
      <c r="AL38" s="619"/>
      <c r="AM38" s="619"/>
      <c r="AN38" s="619"/>
      <c r="AO38" s="619"/>
      <c r="AP38" s="619"/>
      <c r="AQ38" s="619"/>
      <c r="AR38" s="619"/>
      <c r="AS38" s="619"/>
      <c r="AT38" s="619"/>
      <c r="AU38" s="619"/>
      <c r="AV38" s="619"/>
      <c r="AW38" s="619"/>
      <c r="AX38" s="619"/>
      <c r="AY38" s="619"/>
      <c r="AZ38" s="619"/>
      <c r="BA38" s="619"/>
      <c r="BB38" s="619"/>
      <c r="BC38" s="619"/>
      <c r="BD38" s="619"/>
      <c r="BE38" s="619"/>
      <c r="BF38" s="619"/>
      <c r="BG38" s="619"/>
      <c r="BH38" s="619"/>
      <c r="BI38" s="619"/>
      <c r="BJ38" s="619"/>
      <c r="BK38" s="619"/>
      <c r="BL38" s="619"/>
      <c r="BM38" s="619"/>
      <c r="BN38" s="619"/>
      <c r="BO38" s="619"/>
      <c r="BP38" s="619"/>
      <c r="BQ38" s="619"/>
      <c r="BR38" s="619"/>
      <c r="BS38" s="619"/>
      <c r="BT38" s="619"/>
      <c r="BU38" s="619"/>
      <c r="BV38" s="619"/>
      <c r="BW38" s="619"/>
      <c r="BX38" s="619"/>
      <c r="BY38" s="619"/>
      <c r="BZ38" s="619"/>
      <c r="CA38" s="619"/>
      <c r="CB38" s="619"/>
      <c r="CC38" s="619"/>
      <c r="CD38" s="619"/>
      <c r="CE38" s="619"/>
      <c r="CF38" s="619"/>
    </row>
    <row r="39" spans="3:84" x14ac:dyDescent="0.2">
      <c r="C39" s="622"/>
      <c r="D39" s="594"/>
      <c r="E39" s="595"/>
      <c r="F39" s="870"/>
      <c r="G39" s="870"/>
      <c r="H39" s="870"/>
      <c r="I39" s="870"/>
      <c r="J39" s="870"/>
      <c r="K39" s="870"/>
      <c r="L39" s="870"/>
      <c r="M39" s="870"/>
      <c r="N39" s="870"/>
      <c r="O39" s="622"/>
      <c r="P39" s="622"/>
      <c r="Q39" s="622"/>
      <c r="R39" s="622"/>
      <c r="S39" s="622"/>
      <c r="T39" s="622"/>
      <c r="U39" s="622"/>
      <c r="V39" s="622"/>
      <c r="W39" s="622"/>
      <c r="X39" s="622"/>
      <c r="Y39" s="622"/>
      <c r="Z39" s="622"/>
      <c r="AA39" s="622"/>
      <c r="AB39" s="619"/>
      <c r="AC39" s="619"/>
      <c r="AD39" s="619"/>
      <c r="AE39" s="619"/>
      <c r="AF39" s="619"/>
      <c r="AG39" s="619"/>
      <c r="AH39" s="619"/>
      <c r="AI39" s="619"/>
      <c r="AJ39" s="619"/>
      <c r="AK39" s="619"/>
      <c r="AL39" s="619"/>
      <c r="AM39" s="619"/>
      <c r="AN39" s="619"/>
      <c r="AO39" s="619"/>
      <c r="AP39" s="619"/>
      <c r="AQ39" s="619"/>
      <c r="AR39" s="619"/>
      <c r="AS39" s="619"/>
      <c r="AT39" s="619"/>
      <c r="AU39" s="619"/>
      <c r="AV39" s="619"/>
      <c r="AW39" s="619"/>
      <c r="AX39" s="619"/>
      <c r="AY39" s="619"/>
      <c r="AZ39" s="619"/>
      <c r="BA39" s="619"/>
      <c r="BB39" s="619"/>
      <c r="BC39" s="619"/>
      <c r="BD39" s="619"/>
      <c r="BE39" s="619"/>
      <c r="BF39" s="619"/>
      <c r="BG39" s="619"/>
      <c r="BH39" s="619"/>
      <c r="BI39" s="619"/>
      <c r="BJ39" s="619"/>
      <c r="BK39" s="619"/>
      <c r="BL39" s="619"/>
      <c r="BM39" s="619"/>
      <c r="BN39" s="619"/>
      <c r="BO39" s="619"/>
      <c r="BP39" s="619"/>
      <c r="BQ39" s="619"/>
      <c r="BR39" s="619"/>
      <c r="BS39" s="619"/>
      <c r="BT39" s="619"/>
      <c r="BU39" s="619"/>
      <c r="BV39" s="619"/>
      <c r="BW39" s="619"/>
      <c r="BX39" s="619"/>
      <c r="BY39" s="619"/>
      <c r="BZ39" s="619"/>
      <c r="CA39" s="619"/>
      <c r="CB39" s="619"/>
      <c r="CC39" s="619"/>
      <c r="CD39" s="619"/>
      <c r="CE39" s="619"/>
      <c r="CF39" s="619"/>
    </row>
    <row r="40" spans="3:84" x14ac:dyDescent="0.2">
      <c r="C40" s="622"/>
      <c r="D40" s="622"/>
      <c r="E40" s="629"/>
      <c r="F40" s="630"/>
      <c r="G40" s="630"/>
      <c r="H40" s="630"/>
      <c r="I40" s="630"/>
      <c r="J40" s="630"/>
      <c r="K40" s="630"/>
      <c r="L40" s="630"/>
      <c r="M40" s="630"/>
      <c r="N40" s="630"/>
      <c r="O40" s="622"/>
      <c r="P40" s="622"/>
      <c r="Q40" s="622"/>
      <c r="R40" s="622"/>
      <c r="S40" s="622"/>
      <c r="T40" s="622"/>
      <c r="U40" s="622"/>
      <c r="V40" s="622"/>
      <c r="W40" s="622"/>
      <c r="X40" s="622"/>
      <c r="Y40" s="622"/>
      <c r="Z40" s="622"/>
      <c r="AA40" s="622"/>
      <c r="AB40" s="619"/>
      <c r="AC40" s="619"/>
      <c r="AD40" s="619"/>
      <c r="AE40" s="619"/>
      <c r="AF40" s="619"/>
      <c r="AG40" s="619"/>
      <c r="AH40" s="619"/>
      <c r="AI40" s="619"/>
      <c r="AJ40" s="619"/>
      <c r="AK40" s="619"/>
      <c r="AL40" s="619"/>
      <c r="AM40" s="619"/>
      <c r="AN40" s="619"/>
      <c r="AO40" s="619"/>
      <c r="AP40" s="619"/>
      <c r="AQ40" s="619"/>
      <c r="AR40" s="619"/>
      <c r="AS40" s="619"/>
      <c r="AT40" s="619"/>
      <c r="AU40" s="619"/>
      <c r="AV40" s="619"/>
      <c r="AW40" s="619"/>
      <c r="AX40" s="619"/>
      <c r="AY40" s="619"/>
      <c r="AZ40" s="619"/>
      <c r="BA40" s="619"/>
      <c r="BB40" s="619"/>
      <c r="BC40" s="619"/>
      <c r="BD40" s="619"/>
      <c r="BE40" s="619"/>
      <c r="BF40" s="619"/>
      <c r="BG40" s="619"/>
      <c r="BH40" s="619"/>
      <c r="BI40" s="619"/>
      <c r="BJ40" s="619"/>
      <c r="BK40" s="619"/>
      <c r="BL40" s="619"/>
      <c r="BM40" s="619"/>
      <c r="BN40" s="619"/>
      <c r="BO40" s="619"/>
      <c r="BP40" s="619"/>
      <c r="BQ40" s="619"/>
      <c r="BR40" s="619"/>
      <c r="BS40" s="619"/>
      <c r="BT40" s="619"/>
      <c r="BU40" s="619"/>
      <c r="BV40" s="619"/>
      <c r="BW40" s="619"/>
      <c r="BX40" s="619"/>
      <c r="BY40" s="619"/>
      <c r="BZ40" s="619"/>
      <c r="CA40" s="619"/>
      <c r="CB40" s="619"/>
      <c r="CC40" s="619"/>
      <c r="CD40" s="619"/>
      <c r="CE40" s="619"/>
      <c r="CF40" s="619"/>
    </row>
    <row r="41" spans="3:84" x14ac:dyDescent="0.2">
      <c r="C41" s="614"/>
      <c r="D41" s="614"/>
      <c r="E41" s="629"/>
      <c r="F41" s="630"/>
      <c r="G41" s="630"/>
      <c r="H41" s="630"/>
      <c r="I41" s="630"/>
      <c r="J41" s="630"/>
      <c r="K41" s="630"/>
      <c r="L41" s="630"/>
      <c r="M41" s="630"/>
      <c r="N41" s="617"/>
      <c r="O41" s="614"/>
      <c r="P41" s="622"/>
      <c r="Q41" s="622"/>
      <c r="R41" s="622"/>
      <c r="S41" s="622"/>
      <c r="T41" s="622"/>
      <c r="U41" s="622"/>
      <c r="V41" s="622"/>
      <c r="W41" s="622"/>
      <c r="X41" s="622"/>
      <c r="Y41" s="622"/>
      <c r="Z41" s="622"/>
      <c r="AA41" s="622"/>
      <c r="AB41" s="619"/>
      <c r="AC41" s="619"/>
      <c r="AD41" s="619"/>
      <c r="AE41" s="619"/>
      <c r="AF41" s="619"/>
      <c r="AG41" s="619"/>
      <c r="AH41" s="619"/>
      <c r="AI41" s="619"/>
      <c r="AJ41" s="619"/>
      <c r="AK41" s="619"/>
      <c r="AL41" s="619"/>
      <c r="AM41" s="619"/>
      <c r="AN41" s="619"/>
      <c r="AO41" s="619"/>
      <c r="AP41" s="619"/>
      <c r="AQ41" s="619"/>
      <c r="AR41" s="619"/>
      <c r="AS41" s="619"/>
      <c r="AT41" s="619"/>
      <c r="AU41" s="619"/>
      <c r="AV41" s="619"/>
      <c r="AW41" s="619"/>
      <c r="AX41" s="619"/>
      <c r="AY41" s="619"/>
      <c r="AZ41" s="619"/>
      <c r="BA41" s="619"/>
      <c r="BB41" s="619"/>
      <c r="BC41" s="619"/>
      <c r="BD41" s="619"/>
      <c r="BE41" s="619"/>
      <c r="BF41" s="619"/>
      <c r="BG41" s="619"/>
      <c r="BH41" s="619"/>
      <c r="BI41" s="619"/>
      <c r="BJ41" s="619"/>
      <c r="BK41" s="619"/>
      <c r="BL41" s="619"/>
      <c r="BM41" s="619"/>
      <c r="BN41" s="619"/>
      <c r="BO41" s="619"/>
      <c r="BP41" s="619"/>
      <c r="BQ41" s="619"/>
      <c r="BR41" s="619"/>
      <c r="BS41" s="619"/>
      <c r="BT41" s="619"/>
      <c r="BU41" s="619"/>
      <c r="BV41" s="619"/>
      <c r="BW41" s="619"/>
      <c r="BX41" s="619"/>
      <c r="BY41" s="619"/>
      <c r="BZ41" s="619"/>
      <c r="CA41" s="619"/>
      <c r="CB41" s="619"/>
      <c r="CC41" s="619"/>
      <c r="CD41" s="619"/>
      <c r="CE41" s="619"/>
      <c r="CF41" s="619"/>
    </row>
    <row r="42" spans="3:84" x14ac:dyDescent="0.2">
      <c r="C42" s="622"/>
      <c r="D42" s="622"/>
      <c r="E42" s="622"/>
      <c r="F42" s="622"/>
      <c r="G42" s="622"/>
      <c r="H42" s="622"/>
      <c r="I42" s="622"/>
      <c r="J42" s="622"/>
      <c r="K42" s="622"/>
      <c r="L42" s="622"/>
      <c r="M42" s="622"/>
      <c r="N42" s="622"/>
      <c r="O42" s="622"/>
      <c r="P42" s="622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19"/>
      <c r="AC42" s="619"/>
      <c r="AD42" s="619"/>
      <c r="AE42" s="619"/>
      <c r="AF42" s="619"/>
      <c r="AG42" s="619"/>
      <c r="AH42" s="619"/>
      <c r="AI42" s="619"/>
      <c r="AJ42" s="619"/>
      <c r="AK42" s="619"/>
      <c r="AL42" s="619"/>
      <c r="AM42" s="619"/>
      <c r="AN42" s="619"/>
      <c r="AO42" s="619"/>
      <c r="AP42" s="619"/>
      <c r="AQ42" s="619"/>
      <c r="AR42" s="619"/>
      <c r="AS42" s="619"/>
      <c r="AT42" s="619"/>
      <c r="AU42" s="619"/>
      <c r="AV42" s="619"/>
      <c r="AW42" s="619"/>
      <c r="AX42" s="619"/>
      <c r="AY42" s="619"/>
      <c r="AZ42" s="619"/>
      <c r="BA42" s="619"/>
      <c r="BB42" s="619"/>
      <c r="BC42" s="619"/>
      <c r="BD42" s="619"/>
      <c r="BE42" s="619"/>
      <c r="BF42" s="619"/>
      <c r="BG42" s="619"/>
      <c r="BH42" s="619"/>
      <c r="BI42" s="619"/>
      <c r="BJ42" s="619"/>
      <c r="BK42" s="619"/>
      <c r="BL42" s="619"/>
      <c r="BM42" s="619"/>
      <c r="BN42" s="619"/>
      <c r="BO42" s="619"/>
      <c r="BP42" s="619"/>
      <c r="BQ42" s="619"/>
      <c r="BR42" s="619"/>
      <c r="BS42" s="619"/>
      <c r="BT42" s="619"/>
      <c r="BU42" s="619"/>
      <c r="BV42" s="619"/>
      <c r="BW42" s="619"/>
      <c r="BX42" s="619"/>
      <c r="BY42" s="619"/>
      <c r="BZ42" s="619"/>
      <c r="CA42" s="619"/>
      <c r="CB42" s="619"/>
      <c r="CC42" s="619"/>
      <c r="CD42" s="619"/>
      <c r="CE42" s="619"/>
      <c r="CF42" s="619"/>
    </row>
    <row r="43" spans="3:84" x14ac:dyDescent="0.2">
      <c r="C43" s="622"/>
      <c r="D43" s="622"/>
      <c r="E43" s="622"/>
      <c r="F43" s="622"/>
      <c r="G43" s="622"/>
      <c r="H43" s="622"/>
      <c r="I43" s="622"/>
      <c r="J43" s="622"/>
      <c r="K43" s="622"/>
      <c r="L43" s="622"/>
      <c r="M43" s="622"/>
      <c r="N43" s="622"/>
      <c r="O43" s="622"/>
      <c r="P43" s="622"/>
      <c r="Q43" s="622"/>
      <c r="R43" s="622"/>
      <c r="S43" s="622"/>
      <c r="T43" s="622"/>
      <c r="U43" s="622"/>
      <c r="V43" s="622"/>
      <c r="W43" s="622"/>
      <c r="X43" s="622"/>
      <c r="Y43" s="622"/>
      <c r="Z43" s="622"/>
      <c r="AA43" s="622"/>
      <c r="AB43" s="619"/>
      <c r="AC43" s="619"/>
      <c r="AD43" s="619"/>
      <c r="AE43" s="619"/>
      <c r="AF43" s="619"/>
      <c r="AG43" s="619"/>
      <c r="AH43" s="619"/>
      <c r="AI43" s="619"/>
      <c r="AJ43" s="619"/>
      <c r="AK43" s="619"/>
      <c r="AL43" s="619"/>
      <c r="AM43" s="619"/>
      <c r="AN43" s="619"/>
      <c r="AO43" s="619"/>
      <c r="AP43" s="619"/>
      <c r="AQ43" s="619"/>
      <c r="AR43" s="619"/>
      <c r="AS43" s="619"/>
      <c r="AT43" s="619"/>
      <c r="AU43" s="619"/>
      <c r="AV43" s="619"/>
      <c r="AW43" s="619"/>
      <c r="AX43" s="619"/>
      <c r="AY43" s="619"/>
      <c r="AZ43" s="619"/>
      <c r="BA43" s="619"/>
      <c r="BB43" s="619"/>
      <c r="BC43" s="619"/>
      <c r="BD43" s="619"/>
      <c r="BE43" s="619"/>
      <c r="BF43" s="619"/>
      <c r="BG43" s="619"/>
      <c r="BH43" s="619"/>
      <c r="BI43" s="619"/>
      <c r="BJ43" s="619"/>
      <c r="BK43" s="619"/>
      <c r="BL43" s="619"/>
      <c r="BM43" s="619"/>
      <c r="BN43" s="619"/>
      <c r="BO43" s="619"/>
      <c r="BP43" s="619"/>
      <c r="BQ43" s="619"/>
      <c r="BR43" s="619"/>
      <c r="BS43" s="619"/>
      <c r="BT43" s="619"/>
      <c r="BU43" s="619"/>
      <c r="BV43" s="619"/>
      <c r="BW43" s="619"/>
      <c r="BX43" s="619"/>
      <c r="BY43" s="619"/>
      <c r="BZ43" s="619"/>
      <c r="CA43" s="619"/>
      <c r="CB43" s="619"/>
      <c r="CC43" s="619"/>
      <c r="CD43" s="619"/>
      <c r="CE43" s="619"/>
      <c r="CF43" s="619"/>
    </row>
    <row r="44" spans="3:84" x14ac:dyDescent="0.2">
      <c r="C44" s="622"/>
      <c r="D44" s="622"/>
      <c r="E44" s="622"/>
      <c r="F44" s="622"/>
      <c r="G44" s="622"/>
      <c r="H44" s="622"/>
      <c r="I44" s="622"/>
      <c r="J44" s="622"/>
      <c r="K44" s="622"/>
      <c r="L44" s="622"/>
      <c r="M44" s="622"/>
      <c r="N44" s="622"/>
      <c r="O44" s="622"/>
      <c r="P44" s="622"/>
      <c r="Q44" s="622"/>
      <c r="R44" s="622"/>
      <c r="S44" s="622"/>
      <c r="T44" s="622"/>
      <c r="U44" s="622"/>
      <c r="V44" s="622"/>
      <c r="W44" s="622"/>
      <c r="X44" s="622"/>
      <c r="Y44" s="622"/>
      <c r="Z44" s="622"/>
      <c r="AA44" s="622"/>
      <c r="AB44" s="619"/>
      <c r="AC44" s="619"/>
      <c r="AD44" s="619"/>
      <c r="AE44" s="619"/>
      <c r="AF44" s="619"/>
      <c r="AG44" s="619"/>
      <c r="AH44" s="619"/>
      <c r="AI44" s="619"/>
      <c r="AJ44" s="619"/>
      <c r="AK44" s="619"/>
      <c r="AL44" s="619"/>
      <c r="AM44" s="619"/>
      <c r="AN44" s="619"/>
      <c r="AO44" s="619"/>
      <c r="AP44" s="619"/>
      <c r="AQ44" s="619"/>
      <c r="AR44" s="619"/>
      <c r="AS44" s="619"/>
      <c r="AT44" s="619"/>
      <c r="AU44" s="619"/>
      <c r="AV44" s="619"/>
      <c r="AW44" s="619"/>
      <c r="AX44" s="619"/>
      <c r="AY44" s="619"/>
      <c r="AZ44" s="619"/>
      <c r="BA44" s="619"/>
      <c r="BB44" s="619"/>
      <c r="BC44" s="619"/>
      <c r="BD44" s="619"/>
      <c r="BE44" s="619"/>
      <c r="BF44" s="619"/>
      <c r="BG44" s="619"/>
      <c r="BH44" s="619"/>
      <c r="BI44" s="619"/>
      <c r="BJ44" s="619"/>
      <c r="BK44" s="619"/>
      <c r="BL44" s="619"/>
      <c r="BM44" s="619"/>
      <c r="BN44" s="619"/>
      <c r="BO44" s="619"/>
      <c r="BP44" s="619"/>
      <c r="BQ44" s="619"/>
      <c r="BR44" s="619"/>
      <c r="BS44" s="619"/>
      <c r="BT44" s="619"/>
      <c r="BU44" s="619"/>
      <c r="BV44" s="619"/>
      <c r="BW44" s="619"/>
      <c r="BX44" s="619"/>
      <c r="BY44" s="619"/>
      <c r="BZ44" s="619"/>
      <c r="CA44" s="619"/>
      <c r="CB44" s="619"/>
      <c r="CC44" s="619"/>
      <c r="CD44" s="619"/>
      <c r="CE44" s="619"/>
      <c r="CF44" s="619"/>
    </row>
    <row r="45" spans="3:84" x14ac:dyDescent="0.2">
      <c r="C45" s="622"/>
      <c r="D45" s="622"/>
      <c r="E45" s="622"/>
      <c r="F45" s="622"/>
      <c r="G45" s="622"/>
      <c r="H45" s="622"/>
      <c r="I45" s="622"/>
      <c r="J45" s="622"/>
      <c r="K45" s="622"/>
      <c r="L45" s="622"/>
      <c r="M45" s="622"/>
      <c r="N45" s="622"/>
      <c r="O45" s="622"/>
      <c r="P45" s="622"/>
      <c r="Q45" s="622"/>
      <c r="R45" s="622"/>
      <c r="S45" s="622"/>
      <c r="T45" s="622"/>
      <c r="U45" s="622"/>
      <c r="V45" s="622"/>
      <c r="W45" s="622"/>
      <c r="X45" s="622"/>
      <c r="Y45" s="622"/>
      <c r="Z45" s="622"/>
      <c r="AA45" s="622"/>
    </row>
    <row r="46" spans="3:84" x14ac:dyDescent="0.2">
      <c r="C46" s="622"/>
      <c r="D46" s="622"/>
      <c r="E46" s="622"/>
      <c r="F46" s="622"/>
      <c r="G46" s="622"/>
      <c r="H46" s="622"/>
      <c r="I46" s="622"/>
      <c r="J46" s="622"/>
      <c r="K46" s="622"/>
      <c r="L46" s="622"/>
      <c r="M46" s="622"/>
      <c r="N46" s="622"/>
      <c r="O46" s="622"/>
      <c r="P46" s="622"/>
      <c r="Q46" s="622"/>
      <c r="R46" s="622"/>
      <c r="S46" s="622"/>
      <c r="T46" s="622"/>
      <c r="U46" s="622"/>
      <c r="V46" s="622"/>
      <c r="W46" s="622"/>
      <c r="X46" s="622"/>
      <c r="Y46" s="622"/>
      <c r="Z46" s="622"/>
      <c r="AA46" s="622"/>
    </row>
    <row r="47" spans="3:84" x14ac:dyDescent="0.2">
      <c r="C47" s="622"/>
      <c r="D47" s="622"/>
      <c r="E47" s="622"/>
      <c r="F47" s="622"/>
      <c r="G47" s="622"/>
      <c r="H47" s="622"/>
      <c r="I47" s="622"/>
      <c r="J47" s="622"/>
      <c r="K47" s="622"/>
      <c r="L47" s="622"/>
      <c r="M47" s="622"/>
      <c r="N47" s="622"/>
      <c r="O47" s="622"/>
      <c r="P47" s="622"/>
      <c r="Q47" s="622"/>
      <c r="R47" s="622"/>
      <c r="S47" s="622"/>
      <c r="T47" s="622"/>
      <c r="U47" s="622"/>
      <c r="V47" s="622"/>
      <c r="W47" s="622"/>
      <c r="X47" s="622"/>
      <c r="Y47" s="622"/>
      <c r="Z47" s="622"/>
      <c r="AA47" s="622"/>
    </row>
    <row r="48" spans="3:84" x14ac:dyDescent="0.2">
      <c r="C48" s="622"/>
      <c r="D48" s="622"/>
      <c r="E48" s="622"/>
      <c r="F48" s="622"/>
      <c r="G48" s="622"/>
      <c r="H48" s="622"/>
      <c r="I48" s="622"/>
      <c r="J48" s="622"/>
      <c r="K48" s="622"/>
      <c r="L48" s="622"/>
      <c r="M48" s="622"/>
      <c r="N48" s="622"/>
      <c r="O48" s="622"/>
      <c r="P48" s="622"/>
      <c r="Q48" s="622"/>
      <c r="R48" s="622"/>
      <c r="S48" s="622"/>
      <c r="T48" s="622"/>
      <c r="U48" s="622"/>
      <c r="V48" s="622"/>
      <c r="W48" s="622"/>
      <c r="X48" s="622"/>
      <c r="Y48" s="622"/>
      <c r="Z48" s="622"/>
      <c r="AA48" s="622"/>
    </row>
    <row r="49" spans="3:27" x14ac:dyDescent="0.2">
      <c r="C49" s="622"/>
      <c r="D49" s="622"/>
      <c r="E49" s="622"/>
      <c r="F49" s="622"/>
      <c r="G49" s="622"/>
      <c r="H49" s="622"/>
      <c r="I49" s="622"/>
      <c r="J49" s="622"/>
      <c r="K49" s="622"/>
      <c r="L49" s="622"/>
      <c r="M49" s="622"/>
      <c r="N49" s="622"/>
      <c r="O49" s="622"/>
      <c r="P49" s="622"/>
      <c r="Q49" s="622"/>
      <c r="R49" s="622"/>
      <c r="S49" s="622"/>
      <c r="T49" s="622"/>
      <c r="U49" s="622"/>
      <c r="V49" s="622"/>
      <c r="W49" s="622"/>
      <c r="X49" s="622"/>
      <c r="Y49" s="622"/>
      <c r="Z49" s="622"/>
      <c r="AA49" s="622"/>
    </row>
    <row r="50" spans="3:27" x14ac:dyDescent="0.2">
      <c r="C50" s="622"/>
      <c r="D50" s="622"/>
      <c r="E50" s="622"/>
      <c r="F50" s="622"/>
      <c r="G50" s="622"/>
      <c r="H50" s="622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</row>
  </sheetData>
  <sheetProtection password="CC20" sheet="1" objects="1" scenario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8" type="noConversion"/>
  <conditionalFormatting sqref="B1:N1">
    <cfRule type="expression" dxfId="19" priority="93">
      <formula>NOT(ISBLANK($B$1))</formula>
    </cfRule>
  </conditionalFormatting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stopIfTrue="1" id="{ABA217F0-E6FE-4538-B727-27A66C400466}">
            <xm:f>PedBerMedIV!$U5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43" id="{F43BEC40-487F-48BF-A57F-2A457EBC2412}">
            <xm:f>PedBerMedIV!$V5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J9:J23</xm:sqref>
        </x14:conditionalFormatting>
        <x14:conditionalFormatting xmlns:xm="http://schemas.microsoft.com/office/excel/2006/main">
          <x14:cfRule type="expression" priority="144" id="{350DD095-DF5D-43AC-92CE-CA0B250908C9}">
            <xm:f>NOT(PedBerMedIV!W5)</xm:f>
            <x14:dxf>
              <fill>
                <patternFill>
                  <bgColor rgb="FFFFFFCD"/>
                </patternFill>
              </fill>
            </x14:dxf>
          </x14:cfRule>
          <xm:sqref>F9:G23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J3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8" customWidth="1"/>
    <col min="2" max="2" width="8" style="311" customWidth="1"/>
    <col min="3" max="5" width="7.7109375" customWidth="1"/>
    <col min="6" max="7" width="7.7109375" style="311" customWidth="1"/>
    <col min="8" max="9" width="10.28515625" style="311" customWidth="1"/>
    <col min="10" max="12" width="7.7109375" style="311" customWidth="1"/>
    <col min="13" max="20" width="7.7109375" customWidth="1"/>
    <col min="21" max="25" width="7.7109375" style="311" customWidth="1"/>
    <col min="26" max="26" width="7.28515625" customWidth="1"/>
    <col min="27" max="27" width="7.7109375" customWidth="1"/>
    <col min="28" max="28" width="11.28515625" customWidth="1"/>
    <col min="29" max="29" width="11.140625" customWidth="1"/>
    <col min="31" max="31" width="11.140625" customWidth="1"/>
    <col min="33" max="33" width="11.5703125" customWidth="1"/>
    <col min="34" max="34" width="11.28515625" customWidth="1"/>
    <col min="36" max="36" width="19.42578125" customWidth="1"/>
  </cols>
  <sheetData>
    <row r="1" spans="1:36" s="311" customFormat="1" x14ac:dyDescent="0.2">
      <c r="C1" s="312" t="s">
        <v>5069</v>
      </c>
      <c r="H1" s="312" t="s">
        <v>5070</v>
      </c>
      <c r="U1" s="312" t="s">
        <v>5072</v>
      </c>
      <c r="Z1" s="312" t="s">
        <v>5071</v>
      </c>
    </row>
    <row r="2" spans="1:36" s="845" customFormat="1" x14ac:dyDescent="0.2">
      <c r="A2" s="377" t="s">
        <v>5083</v>
      </c>
      <c r="C2" s="377">
        <v>1</v>
      </c>
      <c r="D2" s="845">
        <v>2</v>
      </c>
      <c r="E2" s="845">
        <v>3</v>
      </c>
      <c r="H2" s="377">
        <v>16</v>
      </c>
      <c r="I2" s="845">
        <v>17</v>
      </c>
      <c r="J2" s="845">
        <v>18</v>
      </c>
      <c r="U2" s="377">
        <v>12</v>
      </c>
      <c r="W2" s="845">
        <v>16</v>
      </c>
      <c r="X2" s="845">
        <v>17</v>
      </c>
      <c r="Y2" s="845">
        <v>13</v>
      </c>
      <c r="Z2" s="377"/>
      <c r="AB2" s="845">
        <v>1</v>
      </c>
      <c r="AC2" s="845">
        <v>2</v>
      </c>
      <c r="AH2" s="845">
        <v>3</v>
      </c>
      <c r="AJ2" s="845">
        <v>15</v>
      </c>
    </row>
    <row r="3" spans="1:36" s="19" customFormat="1" ht="25.5" x14ac:dyDescent="0.2">
      <c r="A3" s="360" t="s">
        <v>471</v>
      </c>
      <c r="B3" s="19" t="s">
        <v>467</v>
      </c>
      <c r="C3" s="19" t="s">
        <v>234</v>
      </c>
      <c r="D3" s="19" t="s">
        <v>199</v>
      </c>
      <c r="E3" s="149" t="s">
        <v>4110</v>
      </c>
      <c r="F3" s="149" t="s">
        <v>5068</v>
      </c>
      <c r="G3" s="149" t="s">
        <v>51</v>
      </c>
      <c r="H3" s="149" t="s">
        <v>5066</v>
      </c>
      <c r="I3" s="149" t="s">
        <v>5067</v>
      </c>
      <c r="J3" s="149" t="s">
        <v>1013</v>
      </c>
      <c r="K3" s="557" t="s">
        <v>4111</v>
      </c>
      <c r="M3" s="149" t="s">
        <v>468</v>
      </c>
      <c r="N3" s="149" t="s">
        <v>469</v>
      </c>
      <c r="O3" s="149" t="s">
        <v>470</v>
      </c>
      <c r="P3" s="19" t="s">
        <v>273</v>
      </c>
      <c r="Q3" s="19" t="s">
        <v>222</v>
      </c>
      <c r="R3" s="19" t="s">
        <v>223</v>
      </c>
      <c r="S3" s="19" t="s">
        <v>384</v>
      </c>
      <c r="T3" s="19" t="s">
        <v>217</v>
      </c>
      <c r="U3" s="149" t="s">
        <v>4338</v>
      </c>
      <c r="V3" s="149" t="s">
        <v>4337</v>
      </c>
      <c r="W3" s="149" t="s">
        <v>4339</v>
      </c>
      <c r="X3" s="149" t="s">
        <v>4340</v>
      </c>
      <c r="Y3" s="149" t="s">
        <v>5374</v>
      </c>
      <c r="Z3" s="149" t="s">
        <v>4108</v>
      </c>
      <c r="AA3" s="149" t="s">
        <v>4107</v>
      </c>
      <c r="AB3" s="19" t="s">
        <v>324</v>
      </c>
      <c r="AC3" s="19" t="s">
        <v>199</v>
      </c>
      <c r="AD3" s="19" t="s">
        <v>304</v>
      </c>
      <c r="AE3" s="19" t="s">
        <v>150</v>
      </c>
      <c r="AF3" s="19" t="s">
        <v>51</v>
      </c>
      <c r="AG3" s="19" t="s">
        <v>325</v>
      </c>
      <c r="AH3" s="19" t="s">
        <v>4109</v>
      </c>
      <c r="AI3" s="19" t="s">
        <v>304</v>
      </c>
      <c r="AJ3" s="149" t="s">
        <v>539</v>
      </c>
    </row>
    <row r="4" spans="1:36" x14ac:dyDescent="0.2">
      <c r="A4">
        <v>0</v>
      </c>
      <c r="B4" s="334">
        <v>1</v>
      </c>
      <c r="C4" s="334"/>
      <c r="D4" s="334"/>
      <c r="E4" s="334"/>
      <c r="F4"/>
      <c r="G4"/>
      <c r="H4" s="334"/>
      <c r="I4" s="334"/>
      <c r="J4" s="334"/>
      <c r="K4"/>
      <c r="L4"/>
      <c r="U4"/>
      <c r="V4"/>
      <c r="W4"/>
      <c r="X4"/>
    </row>
    <row r="5" spans="1:36" x14ac:dyDescent="0.2">
      <c r="A5">
        <v>1</v>
      </c>
      <c r="B5" s="334">
        <v>2</v>
      </c>
      <c r="C5" s="334">
        <v>1</v>
      </c>
      <c r="D5" s="334">
        <v>0</v>
      </c>
      <c r="E5" s="334">
        <v>0</v>
      </c>
      <c r="F5">
        <v>1</v>
      </c>
      <c r="G5">
        <v>0</v>
      </c>
      <c r="H5" s="334" t="str">
        <f t="shared" ref="H5:H19" si="0">IF(C5&gt;1,IF(D5&gt;0,D5,INDEX(Tbl_Ped_MedContIV,C5,H$2)),"")</f>
        <v/>
      </c>
      <c r="I5" s="334" t="str">
        <f t="shared" ref="I5:I19" si="1">IF(C5&gt;1,IF(E5&gt;0,E5,INDEX(Tbl_Ped_MedContIV,C5,I$2)),"")</f>
        <v/>
      </c>
      <c r="J5" s="334" t="str">
        <f>IF(AND(C5&gt;1,_Pat_Gewicht&gt;0),ROUND(INDEX(Tbl_Ped_MedContIV,C5,J$2)*(G5/10)*(H5/I5)/(_Pat_Gewicht/10),3),"")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>
        <f>IF(OR($C5=19),0,0)</f>
        <v>0</v>
      </c>
      <c r="S5">
        <f t="shared" ref="S5:S19" si="6">IF(OR($C5=4),0.2*$M5,0)</f>
        <v>0</v>
      </c>
      <c r="T5">
        <f t="shared" ref="T5:T19" si="7">IF(OR(C5=20,C5=21),0.1*M5,0)</f>
        <v>0</v>
      </c>
      <c r="U5" t="b">
        <f>IF(C5&gt;1,IF(AG5&gt;=INDEX(Tbl_Ped_MedContIV,C5,12),TRUE,FALSE),FALSE)</f>
        <v>0</v>
      </c>
      <c r="V5" t="b">
        <f>IF(C5&gt;1,IF(AND(AG5&gt;=INDEX(Tbl_Ped_MedContIV,C5,10),AG5&lt;=INDEX(Tbl_Ped_MedContIV,C5,12)),TRUE,FALSE),TRUE)=FALSE</f>
        <v>0</v>
      </c>
      <c r="W5" s="312" t="b">
        <f>NOT(AND(C5&gt;1,H5&lt;&gt;INDEX(Tbl_Ped_MedContIV,C5,W$2)))</f>
        <v>1</v>
      </c>
      <c r="X5" t="b">
        <f>NOT(AND(C5&gt;1,I5&lt;&gt;INDEX(Tbl_Ped_MedContIV,C5,X$2)))</f>
        <v>1</v>
      </c>
      <c r="Y5" s="311" t="b">
        <f>NOT(AND(F5&gt;1,INDEX(Tbl_Ped_MedContIV,C5,13)&gt;1,INDEX(Tbl_Ped_MedContIV,C5,13)&lt;&gt;F5))</f>
        <v>1</v>
      </c>
      <c r="Z5" t="str">
        <f t="shared" ref="Z5:Z19" si="8">IF(C5&gt;1,"verw","")</f>
        <v/>
      </c>
      <c r="AA5" t="str">
        <f>IF(AND(W5,X5,Y5),"","stand")</f>
        <v/>
      </c>
      <c r="AB5" t="str">
        <f t="shared" ref="AB5:AB19" si="9">IF(C5&gt;1,INDEX(Tbl_Ped_MedContIV,C5,AB$2),"")</f>
        <v/>
      </c>
      <c r="AC5" t="str">
        <f t="shared" ref="AC5:AC19" si="10">IF(C5&gt;1,H5&amp;" "&amp;INDEX(Tbl_Ped_MedContIV,$C5,AC$2), "")</f>
        <v/>
      </c>
      <c r="AD5" t="str">
        <f t="shared" ref="AD5:AD19" si="11">IF(AND(C5&gt;1,I5&gt;0),I5&amp;" ml","")</f>
        <v/>
      </c>
      <c r="AE5" t="str">
        <f t="shared" ref="AE5:AE19" si="12">IF((INDEX(tblOplossing,F5,1)=0),"",INDEX(tblOplossing,F5,1))</f>
        <v/>
      </c>
      <c r="AF5" t="str">
        <f t="shared" ref="AF5:AF19" si="13">IF(C5&gt;1,G5/10&amp;" ml/uur","")</f>
        <v/>
      </c>
      <c r="AG5" t="str">
        <f t="shared" ref="AG5:AG19" si="14">IF(AND(C5&gt;1,J5&lt;&gt;""),(G5/10)*J5,"")</f>
        <v/>
      </c>
      <c r="AH5" t="str">
        <f t="shared" ref="AH5:AH19" si="15">IF(C5&gt;1,INDEX(Tbl_Ped_MedContIV,C5,AH$2), "")</f>
        <v/>
      </c>
      <c r="AI5" t="str">
        <f t="shared" ref="AI5:AI19" si="16">IF(C5&gt;1,24*G5/10&amp;" ml","")</f>
        <v/>
      </c>
      <c r="AJ5" t="str">
        <f t="shared" ref="AJ5:AJ19" si="17">IF(C5&gt;1,INDEX(Tbl_Ped_MedContIV,C5,AJ$2),"")</f>
        <v/>
      </c>
    </row>
    <row r="6" spans="1:36" x14ac:dyDescent="0.2">
      <c r="A6">
        <v>2</v>
      </c>
      <c r="B6" s="334">
        <v>3</v>
      </c>
      <c r="C6" s="334">
        <v>1</v>
      </c>
      <c r="D6" s="334">
        <v>0</v>
      </c>
      <c r="E6" s="334">
        <v>0</v>
      </c>
      <c r="F6">
        <v>1</v>
      </c>
      <c r="G6">
        <v>0</v>
      </c>
      <c r="H6" s="334" t="str">
        <f t="shared" si="0"/>
        <v/>
      </c>
      <c r="I6" s="334" t="str">
        <f t="shared" si="1"/>
        <v/>
      </c>
      <c r="J6" s="334" t="str">
        <f>IF(AND(C6&gt;1,_Pat_Gewicht&gt;0),ROUND(INDEX(Tbl_Ped_MedContIV,C6,J$2)*(G6/10)*(H6/I6)/(_Pat_Gewicht/10),3),"")</f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f t="shared" ref="R6:R25" si="18">IF(OR($C6=19),0,0)</f>
        <v>0</v>
      </c>
      <c r="S6">
        <f t="shared" si="6"/>
        <v>0</v>
      </c>
      <c r="T6">
        <f t="shared" si="7"/>
        <v>0</v>
      </c>
      <c r="U6" s="311" t="b">
        <f>IF(C6&gt;1,IF(AG6&gt;=INDEX(Tbl_Ped_MedContIV,C6,12),TRUE,FALSE),FALSE)</f>
        <v>0</v>
      </c>
      <c r="V6" s="311" t="b">
        <f>IF(C6&gt;1,IF(AND(AG6&gt;=INDEX(Tbl_Ped_MedContIV,C6,10),AG6&lt;=INDEX(Tbl_Ped_MedContIV,C6,12)),TRUE,FALSE),TRUE)=FALSE</f>
        <v>0</v>
      </c>
      <c r="W6" s="312" t="b">
        <f>NOT(AND(C6&gt;1,H6&lt;&gt;INDEX(Tbl_Ped_MedContIV,C6,W$2)))</f>
        <v>1</v>
      </c>
      <c r="X6" s="311" t="b">
        <f>NOT(AND(C6&gt;1,I6&lt;&gt;INDEX(Tbl_Ped_MedContIV,C6,X$2)))</f>
        <v>1</v>
      </c>
      <c r="Y6" s="311" t="b">
        <f>NOT(AND(F6&gt;1,INDEX(Tbl_Ped_MedContIV,C6,13)&gt;1,INDEX(Tbl_Ped_MedContIV,C6,13)&lt;&gt;F6))</f>
        <v>1</v>
      </c>
      <c r="Z6" s="311" t="str">
        <f t="shared" si="8"/>
        <v/>
      </c>
      <c r="AA6" s="311" t="str">
        <f t="shared" ref="AA6:AA19" si="19">IF(AND(W6,X6,Y6),"","stand")</f>
        <v/>
      </c>
      <c r="AB6" s="311" t="str">
        <f t="shared" si="9"/>
        <v/>
      </c>
      <c r="AC6" s="311" t="str">
        <f t="shared" si="10"/>
        <v/>
      </c>
      <c r="AD6" s="311" t="str">
        <f t="shared" si="11"/>
        <v/>
      </c>
      <c r="AE6" s="311" t="str">
        <f t="shared" si="12"/>
        <v/>
      </c>
      <c r="AF6" s="311" t="str">
        <f t="shared" si="13"/>
        <v/>
      </c>
      <c r="AG6" s="311" t="str">
        <f t="shared" si="14"/>
        <v/>
      </c>
      <c r="AH6" s="311" t="str">
        <f t="shared" si="15"/>
        <v/>
      </c>
      <c r="AI6" s="311" t="str">
        <f t="shared" si="16"/>
        <v/>
      </c>
      <c r="AJ6" s="311" t="str">
        <f t="shared" si="17"/>
        <v/>
      </c>
    </row>
    <row r="7" spans="1:36" x14ac:dyDescent="0.2">
      <c r="A7">
        <v>3</v>
      </c>
      <c r="B7" s="334">
        <v>4</v>
      </c>
      <c r="C7" s="334">
        <v>1</v>
      </c>
      <c r="D7" s="334">
        <v>0</v>
      </c>
      <c r="E7" s="334">
        <v>0</v>
      </c>
      <c r="F7">
        <v>1</v>
      </c>
      <c r="G7">
        <v>0</v>
      </c>
      <c r="H7" s="334" t="str">
        <f t="shared" si="0"/>
        <v/>
      </c>
      <c r="I7" s="334" t="str">
        <f t="shared" si="1"/>
        <v/>
      </c>
      <c r="J7" s="334" t="str">
        <f>IF(AND(C7&gt;1,_Pat_Gewicht&gt;0),ROUND(INDEX(Tbl_Ped_MedContIV,C7,J$2)*(G7/10)*(H7/I7)/(_Pat_Gewicht/10),3),"")</f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>
        <f t="shared" si="18"/>
        <v>0</v>
      </c>
      <c r="S7">
        <f t="shared" si="6"/>
        <v>0</v>
      </c>
      <c r="T7">
        <f t="shared" si="7"/>
        <v>0</v>
      </c>
      <c r="U7" s="311" t="b">
        <f>IF(C7&gt;1,IF(AG7&gt;=INDEX(Tbl_Ped_MedContIV,C7,12),TRUE,FALSE),FALSE)</f>
        <v>0</v>
      </c>
      <c r="V7" s="311" t="b">
        <f>IF(C7&gt;1,IF(AND(AG7&gt;=INDEX(Tbl_Ped_MedContIV,C7,10),AG7&lt;=INDEX(Tbl_Ped_MedContIV,C7,12)),TRUE,FALSE),TRUE)=FALSE</f>
        <v>0</v>
      </c>
      <c r="W7" s="312" t="b">
        <f>NOT(AND(C7&gt;1,H7&lt;&gt;INDEX(Tbl_Ped_MedContIV,C7,W$2)))</f>
        <v>1</v>
      </c>
      <c r="X7" s="311" t="b">
        <f>NOT(AND(C7&gt;1,I7&lt;&gt;INDEX(Tbl_Ped_MedContIV,C7,X$2)))</f>
        <v>1</v>
      </c>
      <c r="Y7" s="311" t="b">
        <f>NOT(AND(F7&gt;1,INDEX(Tbl_Ped_MedContIV,C7,13)&gt;1,INDEX(Tbl_Ped_MedContIV,C7,13)&lt;&gt;F7))</f>
        <v>1</v>
      </c>
      <c r="Z7" s="311" t="str">
        <f t="shared" si="8"/>
        <v/>
      </c>
      <c r="AA7" s="311" t="str">
        <f t="shared" si="19"/>
        <v/>
      </c>
      <c r="AB7" s="311" t="str">
        <f t="shared" si="9"/>
        <v/>
      </c>
      <c r="AC7" s="311" t="str">
        <f t="shared" si="10"/>
        <v/>
      </c>
      <c r="AD7" s="311" t="str">
        <f t="shared" si="11"/>
        <v/>
      </c>
      <c r="AE7" s="311" t="str">
        <f t="shared" si="12"/>
        <v/>
      </c>
      <c r="AF7" s="311" t="str">
        <f t="shared" si="13"/>
        <v/>
      </c>
      <c r="AG7" s="311" t="str">
        <f t="shared" si="14"/>
        <v/>
      </c>
      <c r="AH7" s="311" t="str">
        <f t="shared" si="15"/>
        <v/>
      </c>
      <c r="AI7" s="311" t="str">
        <f t="shared" si="16"/>
        <v/>
      </c>
      <c r="AJ7" s="311" t="str">
        <f t="shared" si="17"/>
        <v/>
      </c>
    </row>
    <row r="8" spans="1:36" x14ac:dyDescent="0.2">
      <c r="A8" s="352">
        <v>4</v>
      </c>
      <c r="B8" s="334">
        <v>5</v>
      </c>
      <c r="C8" s="334">
        <v>1</v>
      </c>
      <c r="D8" s="334">
        <v>0</v>
      </c>
      <c r="E8" s="334">
        <v>0</v>
      </c>
      <c r="F8">
        <v>1</v>
      </c>
      <c r="G8">
        <v>0</v>
      </c>
      <c r="H8" s="334" t="str">
        <f t="shared" si="0"/>
        <v/>
      </c>
      <c r="I8" s="334" t="str">
        <f t="shared" si="1"/>
        <v/>
      </c>
      <c r="J8" s="334" t="str">
        <f>IF(AND(C8&gt;1,_Pat_Gewicht&gt;0),ROUND(INDEX(Tbl_Ped_MedContIV,C8,J$2)*(G8/10)*(H8/I8)/(_Pat_Gewicht/10),3),"")</f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>
        <f t="shared" si="18"/>
        <v>0</v>
      </c>
      <c r="S8">
        <f t="shared" si="6"/>
        <v>0</v>
      </c>
      <c r="T8">
        <f t="shared" si="7"/>
        <v>0</v>
      </c>
      <c r="U8" s="311" t="b">
        <f>IF(C8&gt;1,IF(AG8&gt;=INDEX(Tbl_Ped_MedContIV,C8,12),TRUE,FALSE),FALSE)</f>
        <v>0</v>
      </c>
      <c r="V8" s="311" t="b">
        <f>IF(C8&gt;1,IF(AND(AG8&gt;=INDEX(Tbl_Ped_MedContIV,C8,10),AG8&lt;=INDEX(Tbl_Ped_MedContIV,C8,12)),TRUE,FALSE),TRUE)=FALSE</f>
        <v>0</v>
      </c>
      <c r="W8" s="312" t="b">
        <f>NOT(AND(C8&gt;1,H8&lt;&gt;INDEX(Tbl_Ped_MedContIV,C8,W$2)))</f>
        <v>1</v>
      </c>
      <c r="X8" s="311" t="b">
        <f>NOT(AND(C8&gt;1,I8&lt;&gt;INDEX(Tbl_Ped_MedContIV,C8,X$2)))</f>
        <v>1</v>
      </c>
      <c r="Y8" s="311" t="b">
        <f>NOT(AND(F8&gt;1,INDEX(Tbl_Ped_MedContIV,C8,13)&gt;1,INDEX(Tbl_Ped_MedContIV,C8,13)&lt;&gt;F8))</f>
        <v>1</v>
      </c>
      <c r="Z8" s="311" t="str">
        <f t="shared" si="8"/>
        <v/>
      </c>
      <c r="AA8" s="311" t="str">
        <f t="shared" si="19"/>
        <v/>
      </c>
      <c r="AB8" s="311" t="str">
        <f t="shared" si="9"/>
        <v/>
      </c>
      <c r="AC8" s="311" t="str">
        <f t="shared" si="10"/>
        <v/>
      </c>
      <c r="AD8" s="311" t="str">
        <f t="shared" si="11"/>
        <v/>
      </c>
      <c r="AE8" s="311" t="str">
        <f t="shared" si="12"/>
        <v/>
      </c>
      <c r="AF8" s="311" t="str">
        <f t="shared" si="13"/>
        <v/>
      </c>
      <c r="AG8" s="311" t="str">
        <f t="shared" si="14"/>
        <v/>
      </c>
      <c r="AH8" s="311" t="str">
        <f t="shared" si="15"/>
        <v/>
      </c>
      <c r="AI8" s="311" t="str">
        <f t="shared" si="16"/>
        <v/>
      </c>
      <c r="AJ8" s="311" t="str">
        <f t="shared" si="17"/>
        <v/>
      </c>
    </row>
    <row r="9" spans="1:36" x14ac:dyDescent="0.2">
      <c r="A9">
        <v>5</v>
      </c>
      <c r="B9" s="334">
        <v>6</v>
      </c>
      <c r="C9" s="334">
        <v>1</v>
      </c>
      <c r="D9" s="334">
        <v>0</v>
      </c>
      <c r="E9" s="334">
        <v>0</v>
      </c>
      <c r="F9">
        <v>1</v>
      </c>
      <c r="G9">
        <v>0</v>
      </c>
      <c r="H9" s="334" t="str">
        <f t="shared" si="0"/>
        <v/>
      </c>
      <c r="I9" s="334" t="str">
        <f t="shared" si="1"/>
        <v/>
      </c>
      <c r="J9" s="334" t="str">
        <f>IF(AND(C9&gt;1,_Pat_Gewicht&gt;0),ROUND(INDEX(Tbl_Ped_MedContIV,C9,J$2)*(G9/10)*(H9/I9)/(_Pat_Gewicht/10),3),"")</f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>
        <f t="shared" si="18"/>
        <v>0</v>
      </c>
      <c r="S9">
        <f t="shared" si="6"/>
        <v>0</v>
      </c>
      <c r="T9">
        <f t="shared" si="7"/>
        <v>0</v>
      </c>
      <c r="U9" s="311" t="b">
        <f>IF(C9&gt;1,IF(AG9&gt;=INDEX(Tbl_Ped_MedContIV,C9,12),TRUE,FALSE),FALSE)</f>
        <v>0</v>
      </c>
      <c r="V9" s="311" t="b">
        <f>IF(C9&gt;1,IF(AND(AG9&gt;=INDEX(Tbl_Ped_MedContIV,C9,10),AG9&lt;=INDEX(Tbl_Ped_MedContIV,C9,12)),TRUE,FALSE),TRUE)=FALSE</f>
        <v>0</v>
      </c>
      <c r="W9" s="312" t="b">
        <f>NOT(AND(C9&gt;1,H9&lt;&gt;INDEX(Tbl_Ped_MedContIV,C9,W$2)))</f>
        <v>1</v>
      </c>
      <c r="X9" s="311" t="b">
        <f>NOT(AND(C9&gt;1,I9&lt;&gt;INDEX(Tbl_Ped_MedContIV,C9,X$2)))</f>
        <v>1</v>
      </c>
      <c r="Y9" s="311" t="b">
        <f>NOT(AND(F9&gt;1,INDEX(Tbl_Ped_MedContIV,C9,13)&gt;1,INDEX(Tbl_Ped_MedContIV,C9,13)&lt;&gt;F9))</f>
        <v>1</v>
      </c>
      <c r="Z9" s="311" t="str">
        <f t="shared" si="8"/>
        <v/>
      </c>
      <c r="AA9" s="311" t="str">
        <f t="shared" si="19"/>
        <v/>
      </c>
      <c r="AB9" s="311" t="str">
        <f t="shared" si="9"/>
        <v/>
      </c>
      <c r="AC9" s="311" t="str">
        <f t="shared" si="10"/>
        <v/>
      </c>
      <c r="AD9" s="311" t="str">
        <f t="shared" si="11"/>
        <v/>
      </c>
      <c r="AE9" s="311" t="str">
        <f t="shared" si="12"/>
        <v/>
      </c>
      <c r="AF9" s="311" t="str">
        <f t="shared" si="13"/>
        <v/>
      </c>
      <c r="AG9" s="311" t="str">
        <f t="shared" si="14"/>
        <v/>
      </c>
      <c r="AH9" s="311" t="str">
        <f t="shared" si="15"/>
        <v/>
      </c>
      <c r="AI9" s="311" t="str">
        <f t="shared" si="16"/>
        <v/>
      </c>
      <c r="AJ9" s="311" t="str">
        <f t="shared" si="17"/>
        <v/>
      </c>
    </row>
    <row r="10" spans="1:36" x14ac:dyDescent="0.2">
      <c r="A10">
        <v>6</v>
      </c>
      <c r="B10" s="334">
        <v>7</v>
      </c>
      <c r="C10" s="334">
        <v>1</v>
      </c>
      <c r="D10" s="334">
        <v>0</v>
      </c>
      <c r="E10" s="334">
        <v>0</v>
      </c>
      <c r="F10">
        <v>1</v>
      </c>
      <c r="G10">
        <v>0</v>
      </c>
      <c r="H10" s="334" t="str">
        <f t="shared" si="0"/>
        <v/>
      </c>
      <c r="I10" s="334" t="str">
        <f t="shared" si="1"/>
        <v/>
      </c>
      <c r="J10" s="334" t="str">
        <f>IF(AND(C10&gt;1,_Pat_Gewicht&gt;0),ROUND(INDEX(Tbl_Ped_MedContIV,C10,J$2)*(G10/10)*(H10/I10)/(_Pat_Gewicht/10),3),"")</f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>
        <f t="shared" si="18"/>
        <v>0</v>
      </c>
      <c r="S10">
        <f t="shared" si="6"/>
        <v>0</v>
      </c>
      <c r="T10">
        <f t="shared" si="7"/>
        <v>0</v>
      </c>
      <c r="U10" s="311" t="b">
        <f>IF(C10&gt;1,IF(AG10&gt;=INDEX(Tbl_Ped_MedContIV,C10,12),TRUE,FALSE),FALSE)</f>
        <v>0</v>
      </c>
      <c r="V10" s="311" t="b">
        <f>IF(C10&gt;1,IF(AND(AG10&gt;=INDEX(Tbl_Ped_MedContIV,C10,10),AG10&lt;=INDEX(Tbl_Ped_MedContIV,C10,12)),TRUE,FALSE),TRUE)=FALSE</f>
        <v>0</v>
      </c>
      <c r="W10" s="312" t="b">
        <f>NOT(AND(C10&gt;1,H10&lt;&gt;INDEX(Tbl_Ped_MedContIV,C10,W$2)))</f>
        <v>1</v>
      </c>
      <c r="X10" s="311" t="b">
        <f>NOT(AND(C10&gt;1,I10&lt;&gt;INDEX(Tbl_Ped_MedContIV,C10,X$2)))</f>
        <v>1</v>
      </c>
      <c r="Y10" s="311" t="b">
        <f>NOT(AND(F10&gt;1,INDEX(Tbl_Ped_MedContIV,C10,13)&gt;1,INDEX(Tbl_Ped_MedContIV,C10,13)&lt;&gt;F10))</f>
        <v>1</v>
      </c>
      <c r="Z10" s="311" t="str">
        <f t="shared" si="8"/>
        <v/>
      </c>
      <c r="AA10" s="311" t="str">
        <f t="shared" si="19"/>
        <v/>
      </c>
      <c r="AB10" s="311" t="str">
        <f t="shared" si="9"/>
        <v/>
      </c>
      <c r="AC10" s="311" t="str">
        <f t="shared" si="10"/>
        <v/>
      </c>
      <c r="AD10" s="311" t="str">
        <f t="shared" si="11"/>
        <v/>
      </c>
      <c r="AE10" s="311" t="str">
        <f t="shared" si="12"/>
        <v/>
      </c>
      <c r="AF10" s="311" t="str">
        <f t="shared" si="13"/>
        <v/>
      </c>
      <c r="AG10" s="311" t="str">
        <f t="shared" si="14"/>
        <v/>
      </c>
      <c r="AH10" s="311" t="str">
        <f t="shared" si="15"/>
        <v/>
      </c>
      <c r="AI10" s="311" t="str">
        <f t="shared" si="16"/>
        <v/>
      </c>
      <c r="AJ10" s="311" t="str">
        <f t="shared" si="17"/>
        <v/>
      </c>
    </row>
    <row r="11" spans="1:36" x14ac:dyDescent="0.2">
      <c r="A11">
        <v>7</v>
      </c>
      <c r="B11" s="334">
        <v>8</v>
      </c>
      <c r="C11" s="334">
        <v>1</v>
      </c>
      <c r="D11" s="334">
        <v>0</v>
      </c>
      <c r="E11" s="334">
        <v>0</v>
      </c>
      <c r="F11">
        <v>1</v>
      </c>
      <c r="G11">
        <v>0</v>
      </c>
      <c r="H11" s="334" t="str">
        <f t="shared" si="0"/>
        <v/>
      </c>
      <c r="I11" s="334" t="str">
        <f t="shared" si="1"/>
        <v/>
      </c>
      <c r="J11" s="334" t="str">
        <f>IF(AND(C11&gt;1,_Pat_Gewicht&gt;0),ROUND(INDEX(Tbl_Ped_MedContIV,C11,J$2)*(G11/10)*(H11/I11)/(_Pat_Gewicht/10),3),"")</f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>
        <f t="shared" si="18"/>
        <v>0</v>
      </c>
      <c r="S11">
        <f t="shared" si="6"/>
        <v>0</v>
      </c>
      <c r="T11">
        <f t="shared" si="7"/>
        <v>0</v>
      </c>
      <c r="U11" s="311" t="b">
        <f>IF(C11&gt;1,IF(AG11&gt;=INDEX(Tbl_Ped_MedContIV,C11,12),TRUE,FALSE),FALSE)</f>
        <v>0</v>
      </c>
      <c r="V11" s="311" t="b">
        <f>IF(C11&gt;1,IF(AND(AG11&gt;=INDEX(Tbl_Ped_MedContIV,C11,10),AG11&lt;=INDEX(Tbl_Ped_MedContIV,C11,12)),TRUE,FALSE),TRUE)=FALSE</f>
        <v>0</v>
      </c>
      <c r="W11" s="312" t="b">
        <f>NOT(AND(C11&gt;1,H11&lt;&gt;INDEX(Tbl_Ped_MedContIV,C11,W$2)))</f>
        <v>1</v>
      </c>
      <c r="X11" s="311" t="b">
        <f>NOT(AND(C11&gt;1,I11&lt;&gt;INDEX(Tbl_Ped_MedContIV,C11,X$2)))</f>
        <v>1</v>
      </c>
      <c r="Y11" s="311" t="b">
        <f>NOT(AND(F11&gt;1,INDEX(Tbl_Ped_MedContIV,C11,13)&gt;1,INDEX(Tbl_Ped_MedContIV,C11,13)&lt;&gt;F11))</f>
        <v>1</v>
      </c>
      <c r="Z11" s="311" t="str">
        <f t="shared" si="8"/>
        <v/>
      </c>
      <c r="AA11" s="311" t="str">
        <f t="shared" si="19"/>
        <v/>
      </c>
      <c r="AB11" s="311" t="str">
        <f t="shared" si="9"/>
        <v/>
      </c>
      <c r="AC11" s="311" t="str">
        <f t="shared" si="10"/>
        <v/>
      </c>
      <c r="AD11" s="311" t="str">
        <f t="shared" si="11"/>
        <v/>
      </c>
      <c r="AE11" s="311" t="str">
        <f t="shared" si="12"/>
        <v/>
      </c>
      <c r="AF11" s="311" t="str">
        <f t="shared" si="13"/>
        <v/>
      </c>
      <c r="AG11" s="311" t="str">
        <f t="shared" si="14"/>
        <v/>
      </c>
      <c r="AH11" s="311" t="str">
        <f t="shared" si="15"/>
        <v/>
      </c>
      <c r="AI11" s="311" t="str">
        <f t="shared" si="16"/>
        <v/>
      </c>
      <c r="AJ11" s="311" t="str">
        <f t="shared" si="17"/>
        <v/>
      </c>
    </row>
    <row r="12" spans="1:36" x14ac:dyDescent="0.2">
      <c r="A12">
        <v>8</v>
      </c>
      <c r="B12" s="334">
        <v>9</v>
      </c>
      <c r="C12" s="334">
        <v>1</v>
      </c>
      <c r="D12" s="334">
        <v>0</v>
      </c>
      <c r="E12" s="334">
        <v>0</v>
      </c>
      <c r="F12">
        <v>1</v>
      </c>
      <c r="G12">
        <v>0</v>
      </c>
      <c r="H12" s="334" t="str">
        <f t="shared" si="0"/>
        <v/>
      </c>
      <c r="I12" s="334" t="str">
        <f t="shared" si="1"/>
        <v/>
      </c>
      <c r="J12" s="334" t="str">
        <f>IF(AND(C12&gt;1,_Pat_Gewicht&gt;0),ROUND(INDEX(Tbl_Ped_MedContIV,C12,J$2)*(G12/10)*(H12/I12)/(_Pat_Gewicht/10),3),"")</f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>
        <f t="shared" si="18"/>
        <v>0</v>
      </c>
      <c r="S12">
        <f t="shared" si="6"/>
        <v>0</v>
      </c>
      <c r="T12">
        <f t="shared" si="7"/>
        <v>0</v>
      </c>
      <c r="U12" s="311" t="b">
        <f>IF(C12&gt;1,IF(AG12&gt;=INDEX(Tbl_Ped_MedContIV,C12,12),TRUE,FALSE),FALSE)</f>
        <v>0</v>
      </c>
      <c r="V12" s="311" t="b">
        <f>IF(C12&gt;1,IF(AND(AG12&gt;=INDEX(Tbl_Ped_MedContIV,C12,10),AG12&lt;=INDEX(Tbl_Ped_MedContIV,C12,12)),TRUE,FALSE),TRUE)=FALSE</f>
        <v>0</v>
      </c>
      <c r="W12" s="312" t="b">
        <f>NOT(AND(C12&gt;1,H12&lt;&gt;INDEX(Tbl_Ped_MedContIV,C12,W$2)))</f>
        <v>1</v>
      </c>
      <c r="X12" s="311" t="b">
        <f>NOT(AND(C12&gt;1,I12&lt;&gt;INDEX(Tbl_Ped_MedContIV,C12,X$2)))</f>
        <v>1</v>
      </c>
      <c r="Y12" s="311" t="b">
        <f>NOT(AND(F12&gt;1,INDEX(Tbl_Ped_MedContIV,C12,13)&gt;1,INDEX(Tbl_Ped_MedContIV,C12,13)&lt;&gt;F12))</f>
        <v>1</v>
      </c>
      <c r="Z12" s="311" t="str">
        <f t="shared" si="8"/>
        <v/>
      </c>
      <c r="AA12" s="311" t="str">
        <f t="shared" si="19"/>
        <v/>
      </c>
      <c r="AB12" s="311" t="str">
        <f t="shared" si="9"/>
        <v/>
      </c>
      <c r="AC12" s="311" t="str">
        <f t="shared" si="10"/>
        <v/>
      </c>
      <c r="AD12" s="311" t="str">
        <f t="shared" si="11"/>
        <v/>
      </c>
      <c r="AE12" s="311" t="str">
        <f t="shared" si="12"/>
        <v/>
      </c>
      <c r="AF12" s="311" t="str">
        <f t="shared" si="13"/>
        <v/>
      </c>
      <c r="AG12" s="311" t="str">
        <f t="shared" si="14"/>
        <v/>
      </c>
      <c r="AH12" s="311" t="str">
        <f t="shared" si="15"/>
        <v/>
      </c>
      <c r="AI12" s="311" t="str">
        <f t="shared" si="16"/>
        <v/>
      </c>
      <c r="AJ12" s="311" t="str">
        <f t="shared" si="17"/>
        <v/>
      </c>
    </row>
    <row r="13" spans="1:36" x14ac:dyDescent="0.2">
      <c r="A13">
        <v>9</v>
      </c>
      <c r="B13" s="334">
        <v>10</v>
      </c>
      <c r="C13" s="334">
        <v>1</v>
      </c>
      <c r="D13" s="334">
        <v>0</v>
      </c>
      <c r="E13" s="334">
        <v>0</v>
      </c>
      <c r="F13">
        <v>1</v>
      </c>
      <c r="G13">
        <v>0</v>
      </c>
      <c r="H13" s="334" t="str">
        <f t="shared" si="0"/>
        <v/>
      </c>
      <c r="I13" s="334" t="str">
        <f t="shared" si="1"/>
        <v/>
      </c>
      <c r="J13" s="334" t="str">
        <f>IF(AND(C13&gt;1,_Pat_Gewicht&gt;0),ROUND(INDEX(Tbl_Ped_MedContIV,C13,J$2)*(G13/10)*(H13/I13)/(_Pat_Gewicht/10),3),"")</f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>
        <f t="shared" si="18"/>
        <v>0</v>
      </c>
      <c r="S13">
        <f t="shared" si="6"/>
        <v>0</v>
      </c>
      <c r="T13">
        <f t="shared" si="7"/>
        <v>0</v>
      </c>
      <c r="U13" s="311" t="b">
        <f>IF(C13&gt;1,IF(AG13&gt;=INDEX(Tbl_Ped_MedContIV,C13,12),TRUE,FALSE),FALSE)</f>
        <v>0</v>
      </c>
      <c r="V13" s="311" t="b">
        <f>IF(C13&gt;1,IF(AND(AG13&gt;=INDEX(Tbl_Ped_MedContIV,C13,10),AG13&lt;=INDEX(Tbl_Ped_MedContIV,C13,12)),TRUE,FALSE),TRUE)=FALSE</f>
        <v>0</v>
      </c>
      <c r="W13" s="312" t="b">
        <f>NOT(AND(C13&gt;1,H13&lt;&gt;INDEX(Tbl_Ped_MedContIV,C13,W$2)))</f>
        <v>1</v>
      </c>
      <c r="X13" s="311" t="b">
        <f>NOT(AND(C13&gt;1,I13&lt;&gt;INDEX(Tbl_Ped_MedContIV,C13,X$2)))</f>
        <v>1</v>
      </c>
      <c r="Y13" s="311" t="b">
        <f>NOT(AND(F13&gt;1,INDEX(Tbl_Ped_MedContIV,C13,13)&gt;1,INDEX(Tbl_Ped_MedContIV,C13,13)&lt;&gt;F13))</f>
        <v>1</v>
      </c>
      <c r="Z13" s="311" t="str">
        <f t="shared" si="8"/>
        <v/>
      </c>
      <c r="AA13" s="311" t="str">
        <f t="shared" si="19"/>
        <v/>
      </c>
      <c r="AB13" s="311" t="str">
        <f t="shared" si="9"/>
        <v/>
      </c>
      <c r="AC13" s="311" t="str">
        <f t="shared" si="10"/>
        <v/>
      </c>
      <c r="AD13" s="311" t="str">
        <f t="shared" si="11"/>
        <v/>
      </c>
      <c r="AE13" s="311" t="str">
        <f t="shared" si="12"/>
        <v/>
      </c>
      <c r="AF13" s="311" t="str">
        <f t="shared" si="13"/>
        <v/>
      </c>
      <c r="AG13" s="311" t="str">
        <f t="shared" si="14"/>
        <v/>
      </c>
      <c r="AH13" s="311" t="str">
        <f t="shared" si="15"/>
        <v/>
      </c>
      <c r="AI13" s="311" t="str">
        <f t="shared" si="16"/>
        <v/>
      </c>
      <c r="AJ13" s="311" t="str">
        <f t="shared" si="17"/>
        <v/>
      </c>
    </row>
    <row r="14" spans="1:36" x14ac:dyDescent="0.2">
      <c r="A14">
        <v>10</v>
      </c>
      <c r="B14" s="334">
        <v>11</v>
      </c>
      <c r="C14" s="334">
        <v>1</v>
      </c>
      <c r="D14" s="334">
        <v>0</v>
      </c>
      <c r="E14" s="334">
        <v>0</v>
      </c>
      <c r="F14">
        <v>1</v>
      </c>
      <c r="G14">
        <v>0</v>
      </c>
      <c r="H14" s="334" t="str">
        <f t="shared" si="0"/>
        <v/>
      </c>
      <c r="I14" s="334" t="str">
        <f t="shared" si="1"/>
        <v/>
      </c>
      <c r="J14" s="334" t="str">
        <f>IF(AND(C14&gt;1,_Pat_Gewicht&gt;0),ROUND(INDEX(Tbl_Ped_MedContIV,C14,J$2)*(G14/10)*(H14/I14)/(_Pat_Gewicht/10),3),"")</f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>
        <f t="shared" si="18"/>
        <v>0</v>
      </c>
      <c r="S14">
        <f t="shared" si="6"/>
        <v>0</v>
      </c>
      <c r="T14">
        <f t="shared" si="7"/>
        <v>0</v>
      </c>
      <c r="U14" s="311" t="b">
        <f>IF(C14&gt;1,IF(AG14&gt;=INDEX(Tbl_Ped_MedContIV,C14,12),TRUE,FALSE),FALSE)</f>
        <v>0</v>
      </c>
      <c r="V14" s="311" t="b">
        <f>IF(C14&gt;1,IF(AND(AG14&gt;=INDEX(Tbl_Ped_MedContIV,C14,10),AG14&lt;=INDEX(Tbl_Ped_MedContIV,C14,12)),TRUE,FALSE),TRUE)=FALSE</f>
        <v>0</v>
      </c>
      <c r="W14" s="312" t="b">
        <f>NOT(AND(C14&gt;1,H14&lt;&gt;INDEX(Tbl_Ped_MedContIV,C14,W$2)))</f>
        <v>1</v>
      </c>
      <c r="X14" s="311" t="b">
        <f>NOT(AND(C14&gt;1,I14&lt;&gt;INDEX(Tbl_Ped_MedContIV,C14,X$2)))</f>
        <v>1</v>
      </c>
      <c r="Y14" s="311" t="b">
        <f>NOT(AND(F14&gt;1,INDEX(Tbl_Ped_MedContIV,C14,13)&gt;1,INDEX(Tbl_Ped_MedContIV,C14,13)&lt;&gt;F14))</f>
        <v>1</v>
      </c>
      <c r="Z14" s="311" t="str">
        <f t="shared" si="8"/>
        <v/>
      </c>
      <c r="AA14" s="311" t="str">
        <f t="shared" si="19"/>
        <v/>
      </c>
      <c r="AB14" s="311" t="str">
        <f t="shared" si="9"/>
        <v/>
      </c>
      <c r="AC14" s="311" t="str">
        <f t="shared" si="10"/>
        <v/>
      </c>
      <c r="AD14" s="311" t="str">
        <f t="shared" si="11"/>
        <v/>
      </c>
      <c r="AE14" s="311" t="str">
        <f t="shared" si="12"/>
        <v/>
      </c>
      <c r="AF14" s="311" t="str">
        <f t="shared" si="13"/>
        <v/>
      </c>
      <c r="AG14" s="311" t="str">
        <f t="shared" si="14"/>
        <v/>
      </c>
      <c r="AH14" s="311" t="str">
        <f t="shared" si="15"/>
        <v/>
      </c>
      <c r="AI14" s="311" t="str">
        <f t="shared" si="16"/>
        <v/>
      </c>
      <c r="AJ14" s="311" t="str">
        <f t="shared" si="17"/>
        <v/>
      </c>
    </row>
    <row r="15" spans="1:36" s="311" customFormat="1" x14ac:dyDescent="0.2">
      <c r="A15" s="311">
        <v>11</v>
      </c>
      <c r="B15" s="334">
        <v>12</v>
      </c>
      <c r="C15" s="334">
        <v>1</v>
      </c>
      <c r="D15" s="334">
        <v>0</v>
      </c>
      <c r="E15" s="334">
        <v>0</v>
      </c>
      <c r="F15" s="311">
        <v>1</v>
      </c>
      <c r="G15" s="311">
        <v>0</v>
      </c>
      <c r="H15" s="334" t="str">
        <f t="shared" si="0"/>
        <v/>
      </c>
      <c r="I15" s="334" t="str">
        <f t="shared" si="1"/>
        <v/>
      </c>
      <c r="J15" s="334" t="str">
        <f>IF(AND(C15&gt;1,_Pat_Gewicht&gt;0),ROUND(INDEX(Tbl_Ped_MedContIV,C15,J$2)*(G15/10)*(H15/I15)/(_Pat_Gewicht/10),3),"")</f>
        <v/>
      </c>
      <c r="M15" s="311">
        <f>IF(PedGuiMedIV!E19&lt;&gt;0,24*G15/10,0)</f>
        <v>0</v>
      </c>
      <c r="N15" s="311">
        <f t="shared" si="2"/>
        <v>0</v>
      </c>
      <c r="O15" s="311">
        <f t="shared" si="3"/>
        <v>0</v>
      </c>
      <c r="P15" s="311">
        <f t="shared" si="4"/>
        <v>0</v>
      </c>
      <c r="Q15" s="311">
        <f t="shared" si="5"/>
        <v>0</v>
      </c>
      <c r="R15" s="311">
        <f t="shared" si="18"/>
        <v>0</v>
      </c>
      <c r="S15" s="311">
        <f t="shared" si="6"/>
        <v>0</v>
      </c>
      <c r="T15" s="311">
        <f t="shared" si="7"/>
        <v>0</v>
      </c>
      <c r="U15" s="311" t="b">
        <f>IF(C15&gt;1,IF(AG15&gt;=INDEX(Tbl_Ped_MedContIV,C15,12),TRUE,FALSE),FALSE)</f>
        <v>0</v>
      </c>
      <c r="V15" s="311" t="b">
        <f>IF(C15&gt;1,IF(AND(AG15&gt;=INDEX(Tbl_Ped_MedContIV,C15,10),AG15&lt;=INDEX(Tbl_Ped_MedContIV,C15,12)),TRUE,FALSE),TRUE)=FALSE</f>
        <v>0</v>
      </c>
      <c r="W15" s="312" t="b">
        <f>NOT(AND(C15&gt;1,H15&lt;&gt;INDEX(Tbl_Ped_MedContIV,C15,W$2)))</f>
        <v>1</v>
      </c>
      <c r="X15" s="311" t="b">
        <f>NOT(AND(C15&gt;1,I15&lt;&gt;INDEX(Tbl_Ped_MedContIV,C15,X$2)))</f>
        <v>1</v>
      </c>
      <c r="Y15" s="311" t="b">
        <f>NOT(AND(F15&gt;1,INDEX(Tbl_Ped_MedContIV,C15,13)&gt;1,INDEX(Tbl_Ped_MedContIV,C15,13)&lt;&gt;F15))</f>
        <v>1</v>
      </c>
      <c r="Z15" s="311" t="str">
        <f t="shared" si="8"/>
        <v/>
      </c>
      <c r="AA15" s="311" t="str">
        <f t="shared" si="19"/>
        <v/>
      </c>
      <c r="AB15" s="311" t="str">
        <f t="shared" si="9"/>
        <v/>
      </c>
      <c r="AC15" s="311" t="str">
        <f t="shared" si="10"/>
        <v/>
      </c>
      <c r="AD15" s="311" t="str">
        <f t="shared" si="11"/>
        <v/>
      </c>
      <c r="AE15" s="311" t="str">
        <f t="shared" si="12"/>
        <v/>
      </c>
      <c r="AF15" s="311" t="str">
        <f t="shared" si="13"/>
        <v/>
      </c>
      <c r="AG15" s="311" t="str">
        <f t="shared" si="14"/>
        <v/>
      </c>
      <c r="AH15" s="311" t="str">
        <f t="shared" si="15"/>
        <v/>
      </c>
      <c r="AI15" s="311" t="str">
        <f t="shared" si="16"/>
        <v/>
      </c>
      <c r="AJ15" s="311" t="str">
        <f t="shared" si="17"/>
        <v/>
      </c>
    </row>
    <row r="16" spans="1:36" s="311" customFormat="1" x14ac:dyDescent="0.2">
      <c r="A16" s="311">
        <v>12</v>
      </c>
      <c r="B16" s="334">
        <v>13</v>
      </c>
      <c r="C16" s="334">
        <v>1</v>
      </c>
      <c r="D16" s="334">
        <v>0</v>
      </c>
      <c r="E16" s="334">
        <v>0</v>
      </c>
      <c r="F16" s="311">
        <v>1</v>
      </c>
      <c r="G16" s="311">
        <v>0</v>
      </c>
      <c r="H16" s="334" t="str">
        <f t="shared" si="0"/>
        <v/>
      </c>
      <c r="I16" s="334" t="str">
        <f t="shared" si="1"/>
        <v/>
      </c>
      <c r="J16" s="334" t="str">
        <f>IF(AND(C16&gt;1,_Pat_Gewicht&gt;0),ROUND(INDEX(Tbl_Ped_MedContIV,C16,J$2)*(G16/10)*(H16/I16)/(_Pat_Gewicht/10),3),"")</f>
        <v/>
      </c>
      <c r="M16" s="311">
        <f>IF(PedGuiMedIV!E20&lt;&gt;0,24*G16/10,0)</f>
        <v>0</v>
      </c>
      <c r="N16" s="311">
        <f t="shared" si="2"/>
        <v>0</v>
      </c>
      <c r="O16" s="311">
        <f t="shared" si="3"/>
        <v>0</v>
      </c>
      <c r="P16" s="311">
        <f t="shared" si="4"/>
        <v>0</v>
      </c>
      <c r="Q16" s="311">
        <f t="shared" si="5"/>
        <v>0</v>
      </c>
      <c r="R16" s="311">
        <f t="shared" si="18"/>
        <v>0</v>
      </c>
      <c r="S16" s="311">
        <f t="shared" si="6"/>
        <v>0</v>
      </c>
      <c r="T16" s="311">
        <f t="shared" si="7"/>
        <v>0</v>
      </c>
      <c r="U16" s="311" t="b">
        <f>IF(C16&gt;1,IF(AG16&gt;=INDEX(Tbl_Ped_MedContIV,C16,12),TRUE,FALSE),FALSE)</f>
        <v>0</v>
      </c>
      <c r="V16" s="311" t="b">
        <f>IF(C16&gt;1,IF(AND(AG16&gt;=INDEX(Tbl_Ped_MedContIV,C16,10),AG16&lt;=INDEX(Tbl_Ped_MedContIV,C16,12)),TRUE,FALSE),TRUE)=FALSE</f>
        <v>0</v>
      </c>
      <c r="W16" s="312" t="b">
        <f>NOT(AND(C16&gt;1,H16&lt;&gt;INDEX(Tbl_Ped_MedContIV,C16,W$2)))</f>
        <v>1</v>
      </c>
      <c r="X16" s="311" t="b">
        <f>NOT(AND(C16&gt;1,I16&lt;&gt;INDEX(Tbl_Ped_MedContIV,C16,X$2)))</f>
        <v>1</v>
      </c>
      <c r="Y16" s="311" t="b">
        <f>NOT(AND(F16&gt;1,INDEX(Tbl_Ped_MedContIV,C16,13)&gt;1,INDEX(Tbl_Ped_MedContIV,C16,13)&lt;&gt;F16))</f>
        <v>1</v>
      </c>
      <c r="Z16" s="311" t="str">
        <f t="shared" si="8"/>
        <v/>
      </c>
      <c r="AA16" s="311" t="str">
        <f t="shared" si="19"/>
        <v/>
      </c>
      <c r="AB16" s="311" t="str">
        <f t="shared" si="9"/>
        <v/>
      </c>
      <c r="AC16" s="311" t="str">
        <f t="shared" si="10"/>
        <v/>
      </c>
      <c r="AD16" s="311" t="str">
        <f t="shared" si="11"/>
        <v/>
      </c>
      <c r="AE16" s="311" t="str">
        <f t="shared" si="12"/>
        <v/>
      </c>
      <c r="AF16" s="311" t="str">
        <f t="shared" si="13"/>
        <v/>
      </c>
      <c r="AG16" s="311" t="str">
        <f t="shared" si="14"/>
        <v/>
      </c>
      <c r="AH16" s="311" t="str">
        <f t="shared" si="15"/>
        <v/>
      </c>
      <c r="AI16" s="311" t="str">
        <f t="shared" si="16"/>
        <v/>
      </c>
      <c r="AJ16" s="311" t="str">
        <f t="shared" si="17"/>
        <v/>
      </c>
    </row>
    <row r="17" spans="1:36" s="311" customFormat="1" x14ac:dyDescent="0.2">
      <c r="A17" s="311">
        <v>13</v>
      </c>
      <c r="B17" s="334">
        <v>14</v>
      </c>
      <c r="C17" s="334">
        <v>1</v>
      </c>
      <c r="D17" s="334">
        <v>0</v>
      </c>
      <c r="E17" s="334">
        <v>0</v>
      </c>
      <c r="F17" s="311">
        <v>1</v>
      </c>
      <c r="G17" s="311">
        <v>0</v>
      </c>
      <c r="H17" s="334" t="str">
        <f t="shared" si="0"/>
        <v/>
      </c>
      <c r="I17" s="334" t="str">
        <f t="shared" si="1"/>
        <v/>
      </c>
      <c r="J17" s="334" t="str">
        <f>IF(AND(C17&gt;1,_Pat_Gewicht&gt;0),ROUND(INDEX(Tbl_Ped_MedContIV,C17,J$2)*(G17/10)*(H17/I17)/(_Pat_Gewicht/10),3),"")</f>
        <v/>
      </c>
      <c r="M17" s="311">
        <f>IF(PedGuiMedIV!E21&lt;&gt;0,24*G17/10,0)</f>
        <v>0</v>
      </c>
      <c r="N17" s="311">
        <f t="shared" si="2"/>
        <v>0</v>
      </c>
      <c r="O17" s="311">
        <f t="shared" si="3"/>
        <v>0</v>
      </c>
      <c r="P17" s="311">
        <f t="shared" si="4"/>
        <v>0</v>
      </c>
      <c r="Q17" s="311">
        <f t="shared" si="5"/>
        <v>0</v>
      </c>
      <c r="R17" s="311">
        <f t="shared" si="18"/>
        <v>0</v>
      </c>
      <c r="S17" s="311">
        <f t="shared" si="6"/>
        <v>0</v>
      </c>
      <c r="T17" s="311">
        <f t="shared" si="7"/>
        <v>0</v>
      </c>
      <c r="U17" s="311" t="b">
        <f>IF(C17&gt;1,IF(AG17&gt;=INDEX(Tbl_Ped_MedContIV,C17,12),TRUE,FALSE),FALSE)</f>
        <v>0</v>
      </c>
      <c r="V17" s="311" t="b">
        <f>IF(C17&gt;1,IF(AND(AG17&gt;=INDEX(Tbl_Ped_MedContIV,C17,10),AG17&lt;=INDEX(Tbl_Ped_MedContIV,C17,12)),TRUE,FALSE),TRUE)=FALSE</f>
        <v>0</v>
      </c>
      <c r="W17" s="312" t="b">
        <f>NOT(AND(C17&gt;1,H17&lt;&gt;INDEX(Tbl_Ped_MedContIV,C17,W$2)))</f>
        <v>1</v>
      </c>
      <c r="X17" s="311" t="b">
        <f>NOT(AND(C17&gt;1,I17&lt;&gt;INDEX(Tbl_Ped_MedContIV,C17,X$2)))</f>
        <v>1</v>
      </c>
      <c r="Y17" s="311" t="b">
        <f>NOT(AND(F17&gt;1,INDEX(Tbl_Ped_MedContIV,C17,13)&gt;1,INDEX(Tbl_Ped_MedContIV,C17,13)&lt;&gt;F17))</f>
        <v>1</v>
      </c>
      <c r="Z17" s="311" t="str">
        <f t="shared" si="8"/>
        <v/>
      </c>
      <c r="AA17" s="311" t="str">
        <f t="shared" si="19"/>
        <v/>
      </c>
      <c r="AB17" s="311" t="str">
        <f t="shared" si="9"/>
        <v/>
      </c>
      <c r="AC17" s="311" t="str">
        <f t="shared" si="10"/>
        <v/>
      </c>
      <c r="AD17" s="311" t="str">
        <f t="shared" si="11"/>
        <v/>
      </c>
      <c r="AE17" s="311" t="str">
        <f t="shared" si="12"/>
        <v/>
      </c>
      <c r="AF17" s="311" t="str">
        <f t="shared" si="13"/>
        <v/>
      </c>
      <c r="AG17" s="311" t="str">
        <f t="shared" si="14"/>
        <v/>
      </c>
      <c r="AH17" s="311" t="str">
        <f t="shared" si="15"/>
        <v/>
      </c>
      <c r="AI17" s="311" t="str">
        <f t="shared" si="16"/>
        <v/>
      </c>
      <c r="AJ17" s="311" t="str">
        <f t="shared" si="17"/>
        <v/>
      </c>
    </row>
    <row r="18" spans="1:36" s="311" customFormat="1" x14ac:dyDescent="0.2">
      <c r="A18" s="311">
        <v>14</v>
      </c>
      <c r="B18" s="334">
        <v>15</v>
      </c>
      <c r="C18" s="334">
        <v>1</v>
      </c>
      <c r="D18" s="334">
        <v>0</v>
      </c>
      <c r="E18" s="334">
        <v>0</v>
      </c>
      <c r="F18" s="311">
        <v>1</v>
      </c>
      <c r="G18" s="311">
        <v>0</v>
      </c>
      <c r="H18" s="334" t="str">
        <f t="shared" si="0"/>
        <v/>
      </c>
      <c r="I18" s="334" t="str">
        <f t="shared" si="1"/>
        <v/>
      </c>
      <c r="J18" s="334" t="str">
        <f>IF(AND(C18&gt;1,_Pat_Gewicht&gt;0),ROUND(INDEX(Tbl_Ped_MedContIV,C18,J$2)*(G18/10)*(H18/I18)/(_Pat_Gewicht/10),3),"")</f>
        <v/>
      </c>
      <c r="M18" s="311">
        <f>IF(PedGuiMedIV!E22&lt;&gt;0,24*G18/10,0)</f>
        <v>0</v>
      </c>
      <c r="N18" s="311">
        <f t="shared" si="2"/>
        <v>0</v>
      </c>
      <c r="O18" s="311">
        <f t="shared" si="3"/>
        <v>0</v>
      </c>
      <c r="P18" s="311">
        <f t="shared" si="4"/>
        <v>0</v>
      </c>
      <c r="Q18" s="311">
        <f t="shared" si="5"/>
        <v>0</v>
      </c>
      <c r="R18" s="311">
        <f t="shared" si="18"/>
        <v>0</v>
      </c>
      <c r="S18" s="311">
        <f t="shared" si="6"/>
        <v>0</v>
      </c>
      <c r="T18" s="311">
        <f t="shared" si="7"/>
        <v>0</v>
      </c>
      <c r="U18" s="311" t="b">
        <f>IF(C18&gt;1,IF(AG18&gt;=INDEX(Tbl_Ped_MedContIV,C18,12),TRUE,FALSE),FALSE)</f>
        <v>0</v>
      </c>
      <c r="V18" s="311" t="b">
        <f>IF(C18&gt;1,IF(AND(AG18&gt;=INDEX(Tbl_Ped_MedContIV,C18,10),AG18&lt;=INDEX(Tbl_Ped_MedContIV,C18,12)),TRUE,FALSE),TRUE)=FALSE</f>
        <v>0</v>
      </c>
      <c r="W18" s="312" t="b">
        <f>NOT(AND(C18&gt;1,H18&lt;&gt;INDEX(Tbl_Ped_MedContIV,C18,W$2)))</f>
        <v>1</v>
      </c>
      <c r="X18" s="311" t="b">
        <f>NOT(AND(C18&gt;1,I18&lt;&gt;INDEX(Tbl_Ped_MedContIV,C18,X$2)))</f>
        <v>1</v>
      </c>
      <c r="Y18" s="311" t="b">
        <f>NOT(AND(F18&gt;1,INDEX(Tbl_Ped_MedContIV,C18,13)&gt;1,INDEX(Tbl_Ped_MedContIV,C18,13)&lt;&gt;F18))</f>
        <v>1</v>
      </c>
      <c r="Z18" s="311" t="str">
        <f t="shared" si="8"/>
        <v/>
      </c>
      <c r="AA18" s="311" t="str">
        <f t="shared" si="19"/>
        <v/>
      </c>
      <c r="AB18" s="311" t="str">
        <f t="shared" si="9"/>
        <v/>
      </c>
      <c r="AC18" s="311" t="str">
        <f t="shared" si="10"/>
        <v/>
      </c>
      <c r="AD18" s="311" t="str">
        <f t="shared" si="11"/>
        <v/>
      </c>
      <c r="AE18" s="311" t="str">
        <f t="shared" si="12"/>
        <v/>
      </c>
      <c r="AF18" s="311" t="str">
        <f t="shared" si="13"/>
        <v/>
      </c>
      <c r="AG18" s="311" t="str">
        <f t="shared" si="14"/>
        <v/>
      </c>
      <c r="AH18" s="311" t="str">
        <f t="shared" si="15"/>
        <v/>
      </c>
      <c r="AI18" s="311" t="str">
        <f t="shared" si="16"/>
        <v/>
      </c>
      <c r="AJ18" s="311" t="str">
        <f t="shared" si="17"/>
        <v/>
      </c>
    </row>
    <row r="19" spans="1:36" s="311" customFormat="1" x14ac:dyDescent="0.2">
      <c r="A19" s="311">
        <v>15</v>
      </c>
      <c r="B19" s="334">
        <v>16</v>
      </c>
      <c r="C19" s="334">
        <v>1</v>
      </c>
      <c r="D19" s="334">
        <v>0</v>
      </c>
      <c r="E19" s="334">
        <v>0</v>
      </c>
      <c r="F19" s="311">
        <v>1</v>
      </c>
      <c r="G19" s="311">
        <v>0</v>
      </c>
      <c r="H19" s="334" t="str">
        <f t="shared" si="0"/>
        <v/>
      </c>
      <c r="I19" s="334" t="str">
        <f t="shared" si="1"/>
        <v/>
      </c>
      <c r="J19" s="334" t="str">
        <f>IF(AND(C19&gt;1,_Pat_Gewicht&gt;0),ROUND(INDEX(Tbl_Ped_MedContIV,C19,J$2)*(G19/10)*(H19/I19)/(_Pat_Gewicht/10),3),"")</f>
        <v/>
      </c>
      <c r="M19" s="311">
        <f>IF(PedGuiMedIV!E23&lt;&gt;0,24*G19/10,0)</f>
        <v>0</v>
      </c>
      <c r="N19" s="311">
        <f t="shared" si="2"/>
        <v>0</v>
      </c>
      <c r="O19" s="311">
        <f t="shared" si="3"/>
        <v>0</v>
      </c>
      <c r="P19" s="311">
        <f t="shared" si="4"/>
        <v>0</v>
      </c>
      <c r="Q19" s="311">
        <f t="shared" si="5"/>
        <v>0</v>
      </c>
      <c r="R19" s="311">
        <f t="shared" si="18"/>
        <v>0</v>
      </c>
      <c r="S19" s="311">
        <f t="shared" si="6"/>
        <v>0</v>
      </c>
      <c r="T19" s="311">
        <f t="shared" si="7"/>
        <v>0</v>
      </c>
      <c r="U19" s="311" t="b">
        <f>IF(C19&gt;1,IF(AG19&gt;=INDEX(Tbl_Ped_MedContIV,C19,12),TRUE,FALSE),FALSE)</f>
        <v>0</v>
      </c>
      <c r="V19" s="311" t="b">
        <f>IF(C19&gt;1,IF(AND(AG19&gt;=INDEX(Tbl_Ped_MedContIV,C19,10),AG19&lt;=INDEX(Tbl_Ped_MedContIV,C19,12)),TRUE,FALSE),TRUE)=FALSE</f>
        <v>0</v>
      </c>
      <c r="W19" s="312" t="b">
        <f>NOT(AND(C19&gt;1,H19&lt;&gt;INDEX(Tbl_Ped_MedContIV,C19,W$2)))</f>
        <v>1</v>
      </c>
      <c r="X19" s="311" t="b">
        <f>NOT(AND(C19&gt;1,I19&lt;&gt;INDEX(Tbl_Ped_MedContIV,C19,X$2)))</f>
        <v>1</v>
      </c>
      <c r="Y19" s="311" t="b">
        <f>NOT(AND(F19&gt;1,INDEX(Tbl_Ped_MedContIV,C19,13)&gt;1,INDEX(Tbl_Ped_MedContIV,C19,13)&lt;&gt;F19))</f>
        <v>1</v>
      </c>
      <c r="Z19" s="311" t="str">
        <f t="shared" si="8"/>
        <v/>
      </c>
      <c r="AA19" s="311" t="str">
        <f t="shared" si="19"/>
        <v/>
      </c>
      <c r="AB19" s="311" t="str">
        <f t="shared" si="9"/>
        <v/>
      </c>
      <c r="AC19" s="311" t="str">
        <f t="shared" si="10"/>
        <v/>
      </c>
      <c r="AD19" s="311" t="str">
        <f t="shared" si="11"/>
        <v/>
      </c>
      <c r="AE19" s="311" t="str">
        <f t="shared" si="12"/>
        <v/>
      </c>
      <c r="AF19" s="311" t="str">
        <f t="shared" si="13"/>
        <v/>
      </c>
      <c r="AG19" s="311" t="str">
        <f t="shared" si="14"/>
        <v/>
      </c>
      <c r="AH19" s="311" t="str">
        <f t="shared" si="15"/>
        <v/>
      </c>
      <c r="AI19" s="311" t="str">
        <f t="shared" si="16"/>
        <v/>
      </c>
      <c r="AJ19" s="311" t="str">
        <f t="shared" si="17"/>
        <v/>
      </c>
    </row>
    <row r="20" spans="1:36" s="311" customFormat="1" x14ac:dyDescent="0.2">
      <c r="B20" s="334"/>
      <c r="C20" s="334"/>
      <c r="D20" s="334"/>
      <c r="E20" s="334"/>
      <c r="H20" s="334"/>
      <c r="I20" s="334"/>
      <c r="J20" s="334"/>
      <c r="W20" s="312"/>
    </row>
    <row r="21" spans="1:36" s="334" customFormat="1" x14ac:dyDescent="0.2">
      <c r="A21" s="558">
        <v>16</v>
      </c>
      <c r="B21" s="558"/>
      <c r="C21" s="558"/>
      <c r="D21" s="559">
        <v>0</v>
      </c>
      <c r="E21" s="558">
        <v>0</v>
      </c>
      <c r="F21" s="558">
        <v>1</v>
      </c>
      <c r="G21" s="558">
        <v>0</v>
      </c>
      <c r="H21" s="558"/>
      <c r="I21" s="558"/>
      <c r="J21" s="558"/>
      <c r="K21" s="558" t="e">
        <f>LEFT(D21,FIND(" ",D21))</f>
        <v>#VALUE!</v>
      </c>
      <c r="L21" s="558" t="e">
        <f>MID(D21, FIND(" ",D21), LEN(D21) - FIND(" ",D21) + 1)</f>
        <v>#VALUE!</v>
      </c>
      <c r="M21" s="558">
        <f>IF(PedGuiMedIV!E25&lt;&gt;"",G21/10*24,0)</f>
        <v>0</v>
      </c>
      <c r="N21" s="558">
        <f>IF($F21=3,M21*0.05,0)</f>
        <v>0</v>
      </c>
      <c r="O21" s="558">
        <f>IF($F21=4,M21*0.1,0)</f>
        <v>0</v>
      </c>
      <c r="P21" s="558">
        <f>IF($F21=2,M21*0.155,0)</f>
        <v>0</v>
      </c>
      <c r="Q21" s="558">
        <f>IF(OR($C21=24),0.5*$M21,IF(C21=4,M21*145/1000,0))</f>
        <v>0</v>
      </c>
      <c r="R21" s="558">
        <f t="shared" si="18"/>
        <v>0</v>
      </c>
      <c r="S21" s="558">
        <f>IF(OR($C21=4),0.2*$M21,0)</f>
        <v>0</v>
      </c>
      <c r="T21" s="558">
        <f>IF(OR(C21=20,C21=21),0.1*M21,0)</f>
        <v>0</v>
      </c>
      <c r="U21" s="558"/>
      <c r="V21" s="558"/>
      <c r="W21" s="558"/>
      <c r="X21" s="558"/>
      <c r="Y21" s="558"/>
      <c r="Z21" s="558" t="str">
        <f>IF(C21&gt;1,"verw","")</f>
        <v/>
      </c>
      <c r="AA21" s="558"/>
      <c r="AB21" s="558" t="str">
        <f>IF(C21&lt;&gt;"",C21,"")</f>
        <v/>
      </c>
      <c r="AC21" s="558">
        <f>IF(D21="","",D21)</f>
        <v>0</v>
      </c>
      <c r="AD21" s="558" t="str">
        <f>IF(C21&lt;&gt;"",E21&amp;" ml","")</f>
        <v/>
      </c>
      <c r="AE21" s="558" t="str">
        <f>IF((INDEX(tblOplossing,F21,1)=0),"",INDEX(tblOplossing,F21,1))</f>
        <v/>
      </c>
      <c r="AF21" s="558" t="str">
        <f>IF(C21&gt;1,G21/10&amp;" ml/uur","")</f>
        <v/>
      </c>
      <c r="AG21" s="558" t="str">
        <f>IFERROR(ROUND((G21/10)*K21/E21/(_Pat_Gewicht/10),3)&amp;" "&amp;L21&amp;"/kg/uur "&amp;"("&amp;ROUND((G21/10/60)*K21/E21/(_Pat_Gewicht/10),3)&amp;" "&amp;L21&amp;"/kg/min)","")</f>
        <v/>
      </c>
      <c r="AH21" s="558"/>
      <c r="AI21" s="558" t="str">
        <f>IF(C21&gt;1,24*G21/10&amp;" ml","")</f>
        <v/>
      </c>
      <c r="AJ21" s="558"/>
    </row>
    <row r="22" spans="1:36" s="334" customFormat="1" x14ac:dyDescent="0.2">
      <c r="A22" s="558">
        <v>17</v>
      </c>
      <c r="B22" s="558"/>
      <c r="C22" s="558"/>
      <c r="D22" s="558">
        <v>0</v>
      </c>
      <c r="E22" s="558">
        <v>0</v>
      </c>
      <c r="F22" s="558">
        <v>1</v>
      </c>
      <c r="G22" s="558">
        <v>0</v>
      </c>
      <c r="H22" s="558"/>
      <c r="I22" s="558"/>
      <c r="J22" s="558"/>
      <c r="K22" s="558" t="e">
        <f>LEFT(D22,FIND(" ",D22))</f>
        <v>#VALUE!</v>
      </c>
      <c r="L22" s="558" t="e">
        <f>MID(D22, FIND(" ",D22), LEN(D22) - FIND(" ",D22) + 1)</f>
        <v>#VALUE!</v>
      </c>
      <c r="M22" s="558">
        <f>IF(PedGuiMedIV!E26&lt;&gt;"",G22/10*24,0)</f>
        <v>0</v>
      </c>
      <c r="N22" s="558">
        <f>IF($F22=3,M22*0.05,0)</f>
        <v>0</v>
      </c>
      <c r="O22" s="558">
        <f>IF($F22=4,M22*0.1,0)</f>
        <v>0</v>
      </c>
      <c r="P22" s="558">
        <f>IF($F22=2,M22*0.155,0)</f>
        <v>0</v>
      </c>
      <c r="Q22" s="558">
        <f>IF(OR($C22=24),0.5*$M22,IF(C22=4,M22*145/1000,0))</f>
        <v>0</v>
      </c>
      <c r="R22" s="558">
        <f t="shared" si="18"/>
        <v>0</v>
      </c>
      <c r="S22" s="558">
        <f>IF(OR($C22=4),0.2*$M22,0)</f>
        <v>0</v>
      </c>
      <c r="T22" s="558">
        <f>IF(OR(C22=20,C22=21),0.1*M22,0)</f>
        <v>0</v>
      </c>
      <c r="U22" s="558"/>
      <c r="V22" s="558"/>
      <c r="W22" s="558"/>
      <c r="X22" s="558"/>
      <c r="Y22" s="558"/>
      <c r="Z22" s="558" t="str">
        <f>IF(C22&gt;1,"verw","")</f>
        <v/>
      </c>
      <c r="AA22" s="558"/>
      <c r="AB22" s="558" t="str">
        <f>IF(C22&lt;&gt;"",C22,"")</f>
        <v/>
      </c>
      <c r="AC22" s="558">
        <f t="shared" ref="AC22:AC25" si="20">IF(D22="","",D22)</f>
        <v>0</v>
      </c>
      <c r="AD22" s="558" t="str">
        <f>IF(C22&lt;&gt;"",E22&amp;" ml","")</f>
        <v/>
      </c>
      <c r="AE22" s="558" t="str">
        <f>IF((INDEX(tblOplossing,F22,1)=0),"",INDEX(tblOplossing,F22,1))</f>
        <v/>
      </c>
      <c r="AF22" s="558" t="str">
        <f>IF(C22&gt;1,G22/10&amp;" ml/uur","")</f>
        <v/>
      </c>
      <c r="AG22" s="558" t="str">
        <f>IFERROR(ROUND((G22/10)*K22/E22/(_Pat_Gewicht/10),3)&amp;" "&amp;L22&amp;"/kg/uur "&amp;"("&amp;ROUND((G22/10/60)*K22/E22/(_Pat_Gewicht/10),3)&amp;" "&amp;L22&amp;"/kg/min)","")</f>
        <v/>
      </c>
      <c r="AH22" s="558"/>
      <c r="AI22" s="558" t="str">
        <f>IF(C22&gt;1,24*G22/10&amp;" ml","")</f>
        <v/>
      </c>
      <c r="AJ22" s="558"/>
    </row>
    <row r="23" spans="1:36" s="334" customFormat="1" x14ac:dyDescent="0.2">
      <c r="A23" s="558">
        <v>18</v>
      </c>
      <c r="B23" s="558"/>
      <c r="C23" s="558"/>
      <c r="D23" s="558">
        <v>0</v>
      </c>
      <c r="E23" s="558">
        <v>0</v>
      </c>
      <c r="F23" s="558">
        <v>1</v>
      </c>
      <c r="G23" s="558">
        <v>0</v>
      </c>
      <c r="H23" s="558"/>
      <c r="I23" s="558"/>
      <c r="J23" s="558"/>
      <c r="K23" s="558" t="e">
        <f>LEFT(D23,FIND(" ",D23))</f>
        <v>#VALUE!</v>
      </c>
      <c r="L23" s="558" t="e">
        <f>MID(D23, FIND(" ",D23), LEN(D23) - FIND(" ",D23) + 1)</f>
        <v>#VALUE!</v>
      </c>
      <c r="M23" s="558">
        <f>IF(PedGuiMedIV!E27&lt;&gt;"",G23/10*24,0)</f>
        <v>0</v>
      </c>
      <c r="N23" s="558">
        <f>IF($F23=3,M23*0.05,0)</f>
        <v>0</v>
      </c>
      <c r="O23" s="558">
        <f>IF($F23=4,M23*0.1,0)</f>
        <v>0</v>
      </c>
      <c r="P23" s="558">
        <f>IF($F23=2,M23*0.155,0)</f>
        <v>0</v>
      </c>
      <c r="Q23" s="558">
        <f>IF(OR($C23=24),0.5*$M23,IF(C23=4,M23*145/1000,0))</f>
        <v>0</v>
      </c>
      <c r="R23" s="558">
        <f t="shared" si="18"/>
        <v>0</v>
      </c>
      <c r="S23" s="558">
        <f>IF(OR($C23=4),0.2*$M23,0)</f>
        <v>0</v>
      </c>
      <c r="T23" s="558">
        <f>IF(OR(C23=20,C23=21),0.1*M23,0)</f>
        <v>0</v>
      </c>
      <c r="U23" s="558"/>
      <c r="V23" s="558"/>
      <c r="W23" s="558"/>
      <c r="X23" s="558"/>
      <c r="Y23" s="558"/>
      <c r="Z23" s="558" t="str">
        <f>IF(C23&gt;1,"verw","")</f>
        <v/>
      </c>
      <c r="AA23" s="558"/>
      <c r="AB23" s="558" t="str">
        <f>IF(C23&lt;&gt;"",C23,"")</f>
        <v/>
      </c>
      <c r="AC23" s="558">
        <f t="shared" si="20"/>
        <v>0</v>
      </c>
      <c r="AD23" s="558" t="str">
        <f>IF(C23&lt;&gt;"",E23&amp;" ml","")</f>
        <v/>
      </c>
      <c r="AE23" s="558" t="str">
        <f>IF((INDEX(tblOplossing,F23,1)=0),"",INDEX(tblOplossing,F23,1))</f>
        <v/>
      </c>
      <c r="AF23" s="558" t="str">
        <f>IF(C23&gt;1,G23/10&amp;" ml/uur","")</f>
        <v/>
      </c>
      <c r="AG23" s="558" t="str">
        <f>IFERROR(ROUND((G23/10)*K23/E23/(_Pat_Gewicht/10),3)&amp;" "&amp;L23&amp;"/kg/uur "&amp;"("&amp;ROUND((G23/10/60)*K23/E23/(_Pat_Gewicht/10),3)&amp;" "&amp;L23&amp;"/kg/min)","")</f>
        <v/>
      </c>
      <c r="AH23" s="558"/>
      <c r="AI23" s="558" t="str">
        <f>IF(C23&gt;1,24*G23/10&amp;" ml","")</f>
        <v/>
      </c>
      <c r="AJ23" s="558"/>
    </row>
    <row r="24" spans="1:36" s="334" customFormat="1" x14ac:dyDescent="0.2">
      <c r="A24" s="558">
        <v>19</v>
      </c>
      <c r="B24" s="558"/>
      <c r="C24" s="558"/>
      <c r="D24" s="558">
        <v>0</v>
      </c>
      <c r="E24" s="558">
        <v>0</v>
      </c>
      <c r="F24" s="558">
        <v>1</v>
      </c>
      <c r="G24" s="558">
        <v>0</v>
      </c>
      <c r="H24" s="558"/>
      <c r="I24" s="558"/>
      <c r="J24" s="558"/>
      <c r="K24" s="558" t="e">
        <f>LEFT(D24,FIND(" ",D24))</f>
        <v>#VALUE!</v>
      </c>
      <c r="L24" s="558" t="e">
        <f>MID(D24, FIND(" ",D24), LEN(D24) - FIND(" ",D24) + 1)</f>
        <v>#VALUE!</v>
      </c>
      <c r="M24" s="558">
        <f>IF(PedGuiMedIV!E28&lt;&gt;"",G24/10*24,0)</f>
        <v>0</v>
      </c>
      <c r="N24" s="558">
        <f>IF($F24=3,M24*0.05,0)</f>
        <v>0</v>
      </c>
      <c r="O24" s="558">
        <f>IF($F24=4,M24*0.1,0)</f>
        <v>0</v>
      </c>
      <c r="P24" s="558">
        <f>IF($F24=2,M24*0.155,0)</f>
        <v>0</v>
      </c>
      <c r="Q24" s="558">
        <f>IF(OR($C24=24),0.5*$M24,IF(C24=4,M24*145/1000,0))</f>
        <v>0</v>
      </c>
      <c r="R24" s="558">
        <f t="shared" si="18"/>
        <v>0</v>
      </c>
      <c r="S24" s="558">
        <f>IF(OR($C24=4),0.2*$M24,0)</f>
        <v>0</v>
      </c>
      <c r="T24" s="558">
        <f>IF(OR(C24=20,C24=21),0.1*M24,0)</f>
        <v>0</v>
      </c>
      <c r="U24" s="558"/>
      <c r="V24" s="558"/>
      <c r="W24" s="558"/>
      <c r="X24" s="558"/>
      <c r="Y24" s="558"/>
      <c r="Z24" s="558" t="str">
        <f>IF(C24&gt;1,"verw","")</f>
        <v/>
      </c>
      <c r="AA24" s="558"/>
      <c r="AB24" s="558" t="str">
        <f>IF(C24&lt;&gt;"",C24,"")</f>
        <v/>
      </c>
      <c r="AC24" s="558">
        <f t="shared" si="20"/>
        <v>0</v>
      </c>
      <c r="AD24" s="558" t="str">
        <f>IF(C24&lt;&gt;"",E24&amp;" ml","")</f>
        <v/>
      </c>
      <c r="AE24" s="558" t="str">
        <f>IF((INDEX(tblOplossing,F24,1)=0),"",INDEX(tblOplossing,F24,1))</f>
        <v/>
      </c>
      <c r="AF24" s="558" t="str">
        <f>IF(C24&gt;1,G24/10&amp;" ml/uur","")</f>
        <v/>
      </c>
      <c r="AG24" s="558" t="str">
        <f>IFERROR(ROUND((G24/10)*K24/E24/(_Pat_Gewicht/10),3)&amp;" "&amp;L24&amp;"/kg/uur "&amp;"("&amp;ROUND((G24/10/60)*K24/E24/(_Pat_Gewicht/10),3)&amp;" "&amp;L24&amp;"/kg/min)","")</f>
        <v/>
      </c>
      <c r="AH24" s="558"/>
      <c r="AI24" s="558" t="str">
        <f>IF(C24&gt;1,24*G24/10&amp;" ml","")</f>
        <v/>
      </c>
      <c r="AJ24" s="558"/>
    </row>
    <row r="25" spans="1:36" s="334" customFormat="1" x14ac:dyDescent="0.2">
      <c r="A25" s="844">
        <v>20</v>
      </c>
      <c r="B25" s="844"/>
      <c r="C25" s="844"/>
      <c r="D25" s="844">
        <v>0</v>
      </c>
      <c r="E25" s="844">
        <v>0</v>
      </c>
      <c r="F25" s="844">
        <v>1</v>
      </c>
      <c r="G25" s="844">
        <v>0</v>
      </c>
      <c r="H25" s="844"/>
      <c r="I25" s="844"/>
      <c r="J25" s="844"/>
      <c r="K25" s="844" t="e">
        <f>LEFT(D25,FIND(" ",D25))</f>
        <v>#VALUE!</v>
      </c>
      <c r="L25" s="844" t="e">
        <f>MID(D25, FIND(" ",D25), LEN(D25) - FIND(" ",D25) + 1)</f>
        <v>#VALUE!</v>
      </c>
      <c r="M25" s="844">
        <f>IF(PedGuiMedIV!E29&lt;&gt;"",G25/10*24,0)</f>
        <v>0</v>
      </c>
      <c r="N25" s="844">
        <f>IF($F25=3,M25*0.05,0)</f>
        <v>0</v>
      </c>
      <c r="O25" s="844">
        <f>IF($F25=4,M25*0.1,0)</f>
        <v>0</v>
      </c>
      <c r="P25" s="844">
        <f>IF($F25=2,M25*0.155,0)</f>
        <v>0</v>
      </c>
      <c r="Q25" s="844">
        <f>IF(OR($C25=24),0.5*$M25,IF(C25=4,M25*145/1000,0))</f>
        <v>0</v>
      </c>
      <c r="R25" s="844">
        <f t="shared" si="18"/>
        <v>0</v>
      </c>
      <c r="S25" s="844">
        <f>IF(OR($C25=4),0.2*$M25,0)</f>
        <v>0</v>
      </c>
      <c r="T25" s="844">
        <f>IF(OR(C25=20,C25=21),0.1*M25,0)</f>
        <v>0</v>
      </c>
      <c r="U25" s="844"/>
      <c r="V25" s="844"/>
      <c r="W25" s="844"/>
      <c r="X25" s="844"/>
      <c r="Y25" s="844"/>
      <c r="Z25" s="844" t="str">
        <f>IF(C25&gt;1,"verw","")</f>
        <v/>
      </c>
      <c r="AA25" s="844"/>
      <c r="AB25" s="844" t="str">
        <f>IF(C25&lt;&gt;"",C25,"")</f>
        <v/>
      </c>
      <c r="AC25" s="844">
        <f t="shared" si="20"/>
        <v>0</v>
      </c>
      <c r="AD25" s="844" t="str">
        <f>IF(C25&lt;&gt;"",E25&amp;" ml","")</f>
        <v/>
      </c>
      <c r="AE25" s="844" t="str">
        <f>IF((INDEX(tblOplossing,F25,1)=0),"",INDEX(tblOplossing,F25,1))</f>
        <v/>
      </c>
      <c r="AF25" s="844" t="str">
        <f>IF(C25&gt;1,G25/10&amp;" ml/uur","")</f>
        <v/>
      </c>
      <c r="AG25" s="844" t="str">
        <f>IFERROR(ROUND((G25/10)*K25/E25/(_Pat_Gewicht/10),3)&amp;" "&amp;L25&amp;"/kg/uur "&amp;"("&amp;ROUND((G25/10/60)*K25/E25/(_Pat_Gewicht/10),3)&amp;" "&amp;L25&amp;"/kg/min)","")</f>
        <v/>
      </c>
      <c r="AH25" s="844"/>
      <c r="AI25" s="844" t="str">
        <f>IF(C25&gt;1,24*G25/10&amp;" ml","")</f>
        <v/>
      </c>
      <c r="AJ25" s="844"/>
    </row>
    <row r="26" spans="1:36" x14ac:dyDescent="0.2">
      <c r="A26" s="312" t="s">
        <v>215</v>
      </c>
      <c r="B26"/>
      <c r="F26"/>
      <c r="G26"/>
      <c r="M26">
        <f>SUM(M5:M25)</f>
        <v>0</v>
      </c>
      <c r="O26">
        <f>SUM(N5:O25)</f>
        <v>0</v>
      </c>
      <c r="Q26">
        <f>SUM(Q5:Q25)+SUM(P5:P25)</f>
        <v>0</v>
      </c>
      <c r="R26">
        <f>SUM(R5:R25)</f>
        <v>0</v>
      </c>
      <c r="S26">
        <f>SUM(S5:S25)</f>
        <v>0</v>
      </c>
      <c r="T26">
        <f>SUM(T5:T25)</f>
        <v>0</v>
      </c>
      <c r="Z26" s="311"/>
      <c r="AE26" s="311"/>
      <c r="AG26" s="311"/>
    </row>
    <row r="28" spans="1:36" x14ac:dyDescent="0.2">
      <c r="B28" s="312" t="s">
        <v>440</v>
      </c>
    </row>
    <row r="30" spans="1:36" x14ac:dyDescent="0.2">
      <c r="A30" s="312"/>
      <c r="B30" s="312"/>
    </row>
    <row r="34" spans="3:4" x14ac:dyDescent="0.2">
      <c r="C34" s="312"/>
    </row>
    <row r="35" spans="3:4" x14ac:dyDescent="0.2">
      <c r="D35" s="31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U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O12" sqref="O12"/>
    </sheetView>
  </sheetViews>
  <sheetFormatPr defaultColWidth="9.140625" defaultRowHeight="12.75" x14ac:dyDescent="0.2"/>
  <cols>
    <col min="1" max="1" width="5" style="559" customWidth="1"/>
    <col min="2" max="2" width="33.140625" style="559" customWidth="1"/>
    <col min="3" max="3" width="12" style="559" customWidth="1"/>
    <col min="4" max="4" width="17.5703125" style="559" customWidth="1"/>
    <col min="5" max="14" width="7.7109375" style="559" customWidth="1"/>
    <col min="15" max="15" width="30.7109375" style="559" customWidth="1"/>
    <col min="16" max="16" width="35.42578125" style="559" customWidth="1"/>
    <col min="17" max="19" width="8.7109375" style="559" customWidth="1"/>
    <col min="20" max="20" width="9.5703125" style="559" customWidth="1"/>
    <col min="21" max="21" width="12.140625" style="559" customWidth="1"/>
    <col min="22" max="16384" width="9.140625" style="559"/>
  </cols>
  <sheetData>
    <row r="1" spans="1:21" x14ac:dyDescent="0.2">
      <c r="A1" s="847"/>
      <c r="B1" s="848"/>
      <c r="C1" s="848"/>
      <c r="D1" s="848"/>
      <c r="E1" s="848" t="s">
        <v>5081</v>
      </c>
      <c r="F1" s="848"/>
      <c r="G1" s="848"/>
      <c r="H1" s="848"/>
      <c r="I1" s="848"/>
      <c r="J1" s="848"/>
      <c r="K1" s="848" t="s">
        <v>5082</v>
      </c>
      <c r="L1" s="848"/>
      <c r="M1" s="848"/>
      <c r="N1" s="848"/>
      <c r="O1" s="848"/>
      <c r="P1" s="848" t="s">
        <v>5070</v>
      </c>
      <c r="Q1" s="848"/>
      <c r="R1" s="848"/>
      <c r="S1" s="848"/>
    </row>
    <row r="2" spans="1:21" x14ac:dyDescent="0.2">
      <c r="A2" s="849"/>
      <c r="B2" s="850"/>
      <c r="C2" s="850"/>
      <c r="D2" s="850"/>
      <c r="E2" s="850" t="s">
        <v>455</v>
      </c>
      <c r="F2" s="850"/>
      <c r="G2" s="850" t="s">
        <v>456</v>
      </c>
      <c r="H2" s="850"/>
      <c r="I2" s="850" t="s">
        <v>457</v>
      </c>
      <c r="J2" s="850"/>
      <c r="K2" s="850"/>
      <c r="L2" s="850"/>
      <c r="M2" s="850"/>
      <c r="N2" s="850"/>
      <c r="O2" s="850"/>
      <c r="P2" s="850"/>
      <c r="Q2" s="850" t="s">
        <v>465</v>
      </c>
      <c r="R2" s="850"/>
      <c r="S2" s="850"/>
    </row>
    <row r="3" spans="1:21" s="846" customFormat="1" ht="25.5" x14ac:dyDescent="0.2">
      <c r="A3" s="851"/>
      <c r="B3" s="852" t="s">
        <v>5084</v>
      </c>
      <c r="C3" s="852" t="s">
        <v>4109</v>
      </c>
      <c r="D3" s="852" t="s">
        <v>5086</v>
      </c>
      <c r="E3" s="852" t="s">
        <v>5085</v>
      </c>
      <c r="F3" s="852" t="s">
        <v>468</v>
      </c>
      <c r="G3" s="852" t="s">
        <v>5085</v>
      </c>
      <c r="H3" s="852" t="s">
        <v>468</v>
      </c>
      <c r="I3" s="852" t="s">
        <v>5085</v>
      </c>
      <c r="J3" s="852" t="s">
        <v>468</v>
      </c>
      <c r="K3" s="852" t="s">
        <v>5078</v>
      </c>
      <c r="L3" s="852" t="s">
        <v>5079</v>
      </c>
      <c r="M3" s="852" t="s">
        <v>5080</v>
      </c>
      <c r="N3" s="852" t="s">
        <v>5068</v>
      </c>
      <c r="O3" s="852" t="s">
        <v>5088</v>
      </c>
      <c r="P3" s="852" t="s">
        <v>458</v>
      </c>
      <c r="Q3" s="852" t="s">
        <v>5085</v>
      </c>
      <c r="R3" s="852" t="s">
        <v>468</v>
      </c>
      <c r="S3" s="852" t="s">
        <v>5076</v>
      </c>
      <c r="U3" s="846" t="s">
        <v>1081</v>
      </c>
    </row>
    <row r="4" spans="1:21" x14ac:dyDescent="0.2">
      <c r="A4" s="853">
        <v>1</v>
      </c>
      <c r="B4" s="850"/>
      <c r="C4" s="850"/>
      <c r="D4" s="850"/>
      <c r="E4" s="850"/>
      <c r="F4" s="850"/>
      <c r="G4" s="850"/>
      <c r="H4" s="850"/>
      <c r="I4" s="850"/>
      <c r="J4" s="850"/>
      <c r="K4" s="850"/>
      <c r="L4" s="850"/>
      <c r="M4" s="850"/>
      <c r="N4" s="850">
        <v>1</v>
      </c>
      <c r="O4" s="850"/>
      <c r="P4" s="850"/>
      <c r="Q4" s="850"/>
      <c r="R4" s="850"/>
      <c r="S4" s="850"/>
      <c r="U4" s="334"/>
    </row>
    <row r="5" spans="1:21" x14ac:dyDescent="0.2">
      <c r="A5" s="853">
        <f>A4+1</f>
        <v>2</v>
      </c>
      <c r="B5" s="854" t="s">
        <v>208</v>
      </c>
      <c r="C5" s="854" t="s">
        <v>159</v>
      </c>
      <c r="D5" s="854" t="s">
        <v>576</v>
      </c>
      <c r="E5" s="854">
        <v>1</v>
      </c>
      <c r="F5" s="854">
        <v>50</v>
      </c>
      <c r="G5" s="854">
        <v>2</v>
      </c>
      <c r="H5" s="854">
        <v>50</v>
      </c>
      <c r="I5" s="857">
        <v>5</v>
      </c>
      <c r="J5" s="857">
        <v>50</v>
      </c>
      <c r="K5" s="854">
        <v>0.05</v>
      </c>
      <c r="L5" s="854">
        <v>0.5</v>
      </c>
      <c r="M5" s="854">
        <v>1</v>
      </c>
      <c r="N5" s="854">
        <v>1</v>
      </c>
      <c r="O5" s="854"/>
      <c r="P5" s="850" t="str">
        <f>IF(ISBLANK(O5),CONCATENATE(K5,"-",L5," ",D5),O5)</f>
        <v>0.05-0.5 microg/kg/min</v>
      </c>
      <c r="Q5" s="850">
        <f t="shared" ref="Q5:Q35" si="0">IF(_Pat_Gewicht/10&lt;6,E5,IF(_Pat_Gewicht/10&lt;11,G5,I5))</f>
        <v>1</v>
      </c>
      <c r="R5" s="850">
        <f t="shared" ref="R5:R35" si="1">IF(_Pat_Gewicht/10&lt;6,F5,IF(_Pat_Gewicht/10&lt;11,H5,J5))</f>
        <v>50</v>
      </c>
      <c r="S5" s="850">
        <f>HLOOKUP(C5,Tbl_Glob_Conv_EenhCont,VLOOKUP(D5,Tbl_Glob_Conv_EenhCont,2,FALSE),FALSE)</f>
        <v>16.666666666666668</v>
      </c>
      <c r="U5" s="334" t="s">
        <v>962</v>
      </c>
    </row>
    <row r="6" spans="1:21" x14ac:dyDescent="0.2">
      <c r="A6" s="853">
        <f t="shared" ref="A6:A35" si="2">A5+1</f>
        <v>3</v>
      </c>
      <c r="B6" s="854" t="s">
        <v>117</v>
      </c>
      <c r="C6" s="854" t="s">
        <v>67</v>
      </c>
      <c r="D6" s="854" t="s">
        <v>356</v>
      </c>
      <c r="E6" s="854">
        <v>0.2</v>
      </c>
      <c r="F6" s="854">
        <v>1</v>
      </c>
      <c r="G6" s="854">
        <v>0.2</v>
      </c>
      <c r="H6" s="854">
        <v>1</v>
      </c>
      <c r="I6" s="857">
        <v>0.2</v>
      </c>
      <c r="J6" s="857">
        <v>1</v>
      </c>
      <c r="K6" s="854">
        <v>1</v>
      </c>
      <c r="L6" s="854">
        <v>2</v>
      </c>
      <c r="M6" s="854">
        <v>4</v>
      </c>
      <c r="N6" s="854">
        <v>1</v>
      </c>
      <c r="O6" s="854"/>
      <c r="P6" s="850" t="str">
        <f t="shared" ref="P6:P35" si="3">IF(ISBLANK(O6),CONCATENATE(K6,"-",L6," ",D6),O6)</f>
        <v>1-2 gram/kg/dag</v>
      </c>
      <c r="Q6" s="850">
        <f t="shared" si="0"/>
        <v>0.2</v>
      </c>
      <c r="R6" s="850">
        <f t="shared" si="1"/>
        <v>1</v>
      </c>
      <c r="S6" s="850">
        <f>HLOOKUP(C6,Tbl_Glob_Conv_EenhCont,VLOOKUP(D6,Tbl_Glob_Conv_EenhCont,2,FALSE),FALSE)</f>
        <v>24</v>
      </c>
      <c r="U6" s="334" t="s">
        <v>274</v>
      </c>
    </row>
    <row r="7" spans="1:21" x14ac:dyDescent="0.2">
      <c r="A7" s="853">
        <f t="shared" si="2"/>
        <v>4</v>
      </c>
      <c r="B7" s="854" t="s">
        <v>149</v>
      </c>
      <c r="C7" s="854" t="s">
        <v>159</v>
      </c>
      <c r="D7" s="854" t="s">
        <v>414</v>
      </c>
      <c r="E7" s="854">
        <v>0.2</v>
      </c>
      <c r="F7" s="854">
        <v>50</v>
      </c>
      <c r="G7" s="854"/>
      <c r="H7" s="854"/>
      <c r="I7" s="854"/>
      <c r="J7" s="854"/>
      <c r="K7" s="854">
        <v>10</v>
      </c>
      <c r="L7" s="854">
        <v>50</v>
      </c>
      <c r="M7" s="854">
        <v>100</v>
      </c>
      <c r="N7" s="854">
        <v>1</v>
      </c>
      <c r="O7" s="854"/>
      <c r="P7" s="850" t="str">
        <f t="shared" si="3"/>
        <v>10-50 nanog/kg/min</v>
      </c>
      <c r="Q7" s="850">
        <f t="shared" si="0"/>
        <v>0.2</v>
      </c>
      <c r="R7" s="850">
        <f t="shared" si="1"/>
        <v>50</v>
      </c>
      <c r="S7" s="850">
        <f>HLOOKUP(C7,Tbl_Glob_Conv_EenhCont,VLOOKUP(D7,Tbl_Glob_Conv_EenhCont,2,FALSE),FALSE)</f>
        <v>16666.666666666668</v>
      </c>
      <c r="U7" s="334" t="s">
        <v>275</v>
      </c>
    </row>
    <row r="8" spans="1:21" x14ac:dyDescent="0.2">
      <c r="A8" s="853">
        <f t="shared" si="2"/>
        <v>5</v>
      </c>
      <c r="B8" s="854" t="s">
        <v>423</v>
      </c>
      <c r="C8" s="854" t="s">
        <v>159</v>
      </c>
      <c r="D8" s="854" t="s">
        <v>576</v>
      </c>
      <c r="E8" s="854">
        <v>50</v>
      </c>
      <c r="F8" s="854">
        <v>50</v>
      </c>
      <c r="G8" s="854">
        <v>150</v>
      </c>
      <c r="H8" s="854">
        <v>50</v>
      </c>
      <c r="I8" s="857">
        <v>300</v>
      </c>
      <c r="J8" s="857">
        <v>50</v>
      </c>
      <c r="K8" s="854">
        <v>5</v>
      </c>
      <c r="L8" s="854">
        <v>15</v>
      </c>
      <c r="M8" s="854">
        <v>25</v>
      </c>
      <c r="N8" s="854">
        <v>1</v>
      </c>
      <c r="O8" s="854"/>
      <c r="P8" s="850" t="str">
        <f t="shared" si="3"/>
        <v>5-15 microg/kg/min</v>
      </c>
      <c r="Q8" s="850">
        <f t="shared" si="0"/>
        <v>50</v>
      </c>
      <c r="R8" s="850">
        <f t="shared" si="1"/>
        <v>50</v>
      </c>
      <c r="S8" s="850">
        <f>HLOOKUP(C8,Tbl_Glob_Conv_EenhCont,VLOOKUP(D8,Tbl_Glob_Conv_EenhCont,2,FALSE),FALSE)</f>
        <v>16.666666666666668</v>
      </c>
    </row>
    <row r="9" spans="1:21" x14ac:dyDescent="0.2">
      <c r="A9" s="853">
        <f t="shared" si="2"/>
        <v>6</v>
      </c>
      <c r="B9" s="854" t="s">
        <v>40</v>
      </c>
      <c r="C9" s="854" t="s">
        <v>159</v>
      </c>
      <c r="D9" s="854" t="s">
        <v>712</v>
      </c>
      <c r="E9" s="854">
        <v>0.15</v>
      </c>
      <c r="F9" s="854">
        <v>50</v>
      </c>
      <c r="G9" s="854">
        <v>0.3</v>
      </c>
      <c r="H9" s="854">
        <v>50</v>
      </c>
      <c r="I9" s="857">
        <v>0.6</v>
      </c>
      <c r="J9" s="857">
        <v>50</v>
      </c>
      <c r="K9" s="854">
        <v>0.25</v>
      </c>
      <c r="L9" s="854">
        <v>2</v>
      </c>
      <c r="M9" s="854">
        <v>3</v>
      </c>
      <c r="N9" s="854">
        <v>2</v>
      </c>
      <c r="O9" s="854"/>
      <c r="P9" s="850" t="str">
        <f t="shared" si="3"/>
        <v>0.25-2 microg/kg/uur</v>
      </c>
      <c r="Q9" s="850">
        <f t="shared" si="0"/>
        <v>0.15</v>
      </c>
      <c r="R9" s="850">
        <f t="shared" si="1"/>
        <v>50</v>
      </c>
      <c r="S9" s="850">
        <f>HLOOKUP(C9,Tbl_Glob_Conv_EenhCont,VLOOKUP(D9,Tbl_Glob_Conv_EenhCont,2,FALSE),FALSE)</f>
        <v>1000</v>
      </c>
    </row>
    <row r="10" spans="1:21" x14ac:dyDescent="0.2">
      <c r="A10" s="853">
        <f t="shared" si="2"/>
        <v>7</v>
      </c>
      <c r="B10" s="854" t="s">
        <v>323</v>
      </c>
      <c r="C10" s="854" t="s">
        <v>159</v>
      </c>
      <c r="D10" s="854" t="s">
        <v>576</v>
      </c>
      <c r="E10" s="854">
        <v>80</v>
      </c>
      <c r="F10" s="854">
        <v>50</v>
      </c>
      <c r="G10" s="854">
        <v>200</v>
      </c>
      <c r="H10" s="854">
        <v>50</v>
      </c>
      <c r="I10" s="857">
        <v>400</v>
      </c>
      <c r="J10" s="857">
        <v>50</v>
      </c>
      <c r="K10" s="854">
        <v>1</v>
      </c>
      <c r="L10" s="854">
        <v>20</v>
      </c>
      <c r="M10" s="854">
        <v>30</v>
      </c>
      <c r="N10" s="854">
        <v>1</v>
      </c>
      <c r="O10" s="854"/>
      <c r="P10" s="850" t="str">
        <f t="shared" si="3"/>
        <v>1-20 microg/kg/min</v>
      </c>
      <c r="Q10" s="850">
        <f t="shared" si="0"/>
        <v>80</v>
      </c>
      <c r="R10" s="850">
        <f t="shared" si="1"/>
        <v>50</v>
      </c>
      <c r="S10" s="850">
        <f>HLOOKUP(C10,Tbl_Glob_Conv_EenhCont,VLOOKUP(D10,Tbl_Glob_Conv_EenhCont,2,FALSE),FALSE)</f>
        <v>16.666666666666668</v>
      </c>
    </row>
    <row r="11" spans="1:21" x14ac:dyDescent="0.2">
      <c r="A11" s="853">
        <f t="shared" si="2"/>
        <v>8</v>
      </c>
      <c r="B11" s="854" t="s">
        <v>294</v>
      </c>
      <c r="C11" s="854" t="s">
        <v>159</v>
      </c>
      <c r="D11" s="854" t="s">
        <v>576</v>
      </c>
      <c r="E11" s="854">
        <v>80</v>
      </c>
      <c r="F11" s="854">
        <v>50</v>
      </c>
      <c r="G11" s="854">
        <v>200</v>
      </c>
      <c r="H11" s="854">
        <v>50</v>
      </c>
      <c r="I11" s="857">
        <v>400</v>
      </c>
      <c r="J11" s="857">
        <v>50</v>
      </c>
      <c r="K11" s="854">
        <v>1</v>
      </c>
      <c r="L11" s="854">
        <v>20</v>
      </c>
      <c r="M11" s="854">
        <v>30</v>
      </c>
      <c r="N11" s="854">
        <v>1</v>
      </c>
      <c r="O11" s="854"/>
      <c r="P11" s="850" t="str">
        <f t="shared" si="3"/>
        <v>1-20 microg/kg/min</v>
      </c>
      <c r="Q11" s="850">
        <f t="shared" si="0"/>
        <v>80</v>
      </c>
      <c r="R11" s="850">
        <f t="shared" si="1"/>
        <v>50</v>
      </c>
      <c r="S11" s="850">
        <f>HLOOKUP(C11,Tbl_Glob_Conv_EenhCont,VLOOKUP(D11,Tbl_Glob_Conv_EenhCont,2,FALSE),FALSE)</f>
        <v>16.666666666666668</v>
      </c>
    </row>
    <row r="12" spans="1:21" x14ac:dyDescent="0.2">
      <c r="A12" s="853">
        <f t="shared" si="2"/>
        <v>9</v>
      </c>
      <c r="B12" s="854" t="s">
        <v>5376</v>
      </c>
      <c r="C12" s="854" t="s">
        <v>160</v>
      </c>
      <c r="D12" s="854" t="s">
        <v>171</v>
      </c>
      <c r="E12" s="854">
        <f>IF(_Pat_Gewicht/10&gt;48,48,_Pat_Gewicht/10)</f>
        <v>0</v>
      </c>
      <c r="F12" s="854">
        <v>24</v>
      </c>
      <c r="G12" s="854">
        <f>IF(_Pat_Gewicht/10&gt;48,48,_Pat_Gewicht/10)</f>
        <v>0</v>
      </c>
      <c r="H12" s="854">
        <v>48</v>
      </c>
      <c r="I12" s="854">
        <f>IF(_Pat_Gewicht/10&gt;48,48,_Pat_Gewicht/10)</f>
        <v>0</v>
      </c>
      <c r="J12" s="857">
        <v>48</v>
      </c>
      <c r="K12" s="854">
        <v>1</v>
      </c>
      <c r="L12" s="854">
        <v>8</v>
      </c>
      <c r="M12" s="854">
        <v>8</v>
      </c>
      <c r="N12" s="854">
        <v>1</v>
      </c>
      <c r="O12" s="854" t="s">
        <v>5383</v>
      </c>
      <c r="P12" s="850" t="str">
        <f t="shared" si="3"/>
        <v>N.B. Epiduraal, volgens voorschrift anesthesist!</v>
      </c>
      <c r="Q12" s="850">
        <f t="shared" si="0"/>
        <v>0</v>
      </c>
      <c r="R12" s="850">
        <f t="shared" si="1"/>
        <v>24</v>
      </c>
      <c r="S12" s="850">
        <f>HLOOKUP(C12,Tbl_Glob_Conv_EenhCont,VLOOKUP(D12,Tbl_Glob_Conv_EenhCont,2,FALSE),FALSE)</f>
        <v>1</v>
      </c>
    </row>
    <row r="13" spans="1:21" x14ac:dyDescent="0.2">
      <c r="A13" s="853">
        <f t="shared" si="2"/>
        <v>10</v>
      </c>
      <c r="B13" s="854" t="s">
        <v>5375</v>
      </c>
      <c r="C13" s="854" t="s">
        <v>160</v>
      </c>
      <c r="D13" s="854" t="s">
        <v>171</v>
      </c>
      <c r="E13" s="854">
        <f>IF(_Pat_Gewicht/10&gt;48,48,_Pat_Gewicht/10)</f>
        <v>0</v>
      </c>
      <c r="F13" s="854">
        <v>24</v>
      </c>
      <c r="G13" s="854">
        <f>IF(_Pat_Gewicht/10&gt;48,48,_Pat_Gewicht/10)</f>
        <v>0</v>
      </c>
      <c r="H13" s="854">
        <v>48</v>
      </c>
      <c r="I13" s="854">
        <f>IF(_Pat_Gewicht/10&gt;48,48,_Pat_Gewicht/10)</f>
        <v>0</v>
      </c>
      <c r="J13" s="857">
        <v>48</v>
      </c>
      <c r="K13" s="854">
        <v>1</v>
      </c>
      <c r="L13" s="854">
        <v>8</v>
      </c>
      <c r="M13" s="854">
        <v>8</v>
      </c>
      <c r="N13" s="854">
        <v>1</v>
      </c>
      <c r="O13" s="854" t="s">
        <v>5383</v>
      </c>
      <c r="P13" s="850" t="str">
        <f t="shared" si="3"/>
        <v>N.B. Epiduraal, volgens voorschrift anesthesist!</v>
      </c>
      <c r="Q13" s="850">
        <f t="shared" si="0"/>
        <v>0</v>
      </c>
      <c r="R13" s="850">
        <f t="shared" si="1"/>
        <v>24</v>
      </c>
      <c r="S13" s="850">
        <f>HLOOKUP(C13,Tbl_Glob_Conv_EenhCont,VLOOKUP(D13,Tbl_Glob_Conv_EenhCont,2,FALSE),FALSE)</f>
        <v>1</v>
      </c>
    </row>
    <row r="14" spans="1:21" x14ac:dyDescent="0.2">
      <c r="A14" s="853">
        <f t="shared" si="2"/>
        <v>11</v>
      </c>
      <c r="B14" s="854" t="s">
        <v>92</v>
      </c>
      <c r="C14" s="854" t="s">
        <v>159</v>
      </c>
      <c r="D14" s="854" t="s">
        <v>414</v>
      </c>
      <c r="E14" s="854">
        <v>0.2</v>
      </c>
      <c r="F14" s="854">
        <v>50</v>
      </c>
      <c r="G14" s="854">
        <v>0.4</v>
      </c>
      <c r="H14" s="854">
        <v>50</v>
      </c>
      <c r="I14" s="857">
        <v>0.8</v>
      </c>
      <c r="J14" s="857">
        <v>50</v>
      </c>
      <c r="K14" s="854">
        <v>0.5</v>
      </c>
      <c r="L14" s="854">
        <v>50</v>
      </c>
      <c r="M14" s="854">
        <v>50</v>
      </c>
      <c r="N14" s="854">
        <v>2</v>
      </c>
      <c r="O14" s="854"/>
      <c r="P14" s="850" t="str">
        <f t="shared" si="3"/>
        <v>0.5-50 nanog/kg/min</v>
      </c>
      <c r="Q14" s="850">
        <f t="shared" si="0"/>
        <v>0.2</v>
      </c>
      <c r="R14" s="850">
        <f t="shared" si="1"/>
        <v>50</v>
      </c>
      <c r="S14" s="850">
        <f>HLOOKUP(C14,Tbl_Glob_Conv_EenhCont,VLOOKUP(D14,Tbl_Glob_Conv_EenhCont,2,FALSE),FALSE)</f>
        <v>16666.666666666668</v>
      </c>
    </row>
    <row r="15" spans="1:21" x14ac:dyDescent="0.2">
      <c r="A15" s="853">
        <f t="shared" si="2"/>
        <v>12</v>
      </c>
      <c r="B15" s="854" t="s">
        <v>141</v>
      </c>
      <c r="C15" s="854" t="s">
        <v>159</v>
      </c>
      <c r="D15" s="854" t="s">
        <v>354</v>
      </c>
      <c r="E15" s="854">
        <v>100</v>
      </c>
      <c r="F15" s="854">
        <v>50</v>
      </c>
      <c r="G15" s="854">
        <v>250</v>
      </c>
      <c r="H15" s="854">
        <v>50</v>
      </c>
      <c r="I15" s="857">
        <v>250</v>
      </c>
      <c r="J15" s="857">
        <v>50</v>
      </c>
      <c r="K15" s="854">
        <v>0.5</v>
      </c>
      <c r="L15" s="854">
        <v>1</v>
      </c>
      <c r="M15" s="854">
        <v>2</v>
      </c>
      <c r="N15" s="854">
        <v>1</v>
      </c>
      <c r="O15" s="854"/>
      <c r="P15" s="850" t="str">
        <f t="shared" si="3"/>
        <v>0.5-1 mg/kg/uur</v>
      </c>
      <c r="Q15" s="850">
        <f t="shared" si="0"/>
        <v>100</v>
      </c>
      <c r="R15" s="850">
        <f t="shared" si="1"/>
        <v>50</v>
      </c>
      <c r="S15" s="850">
        <f>HLOOKUP(C15,Tbl_Glob_Conv_EenhCont,VLOOKUP(D15,Tbl_Glob_Conv_EenhCont,2,FALSE),FALSE)</f>
        <v>1</v>
      </c>
    </row>
    <row r="16" spans="1:21" x14ac:dyDescent="0.2">
      <c r="A16" s="853">
        <f t="shared" si="2"/>
        <v>13</v>
      </c>
      <c r="B16" s="854" t="s">
        <v>459</v>
      </c>
      <c r="C16" s="854" t="s">
        <v>159</v>
      </c>
      <c r="D16" s="854" t="s">
        <v>466</v>
      </c>
      <c r="E16" s="854">
        <v>500</v>
      </c>
      <c r="F16" s="854">
        <v>50</v>
      </c>
      <c r="G16" s="854">
        <v>500</v>
      </c>
      <c r="H16" s="854">
        <v>50</v>
      </c>
      <c r="I16" s="857">
        <v>500</v>
      </c>
      <c r="J16" s="857">
        <v>50</v>
      </c>
      <c r="K16" s="854">
        <v>0.1</v>
      </c>
      <c r="L16" s="854">
        <v>1</v>
      </c>
      <c r="M16" s="854">
        <v>2</v>
      </c>
      <c r="N16" s="854">
        <v>1</v>
      </c>
      <c r="O16" s="854"/>
      <c r="P16" s="850" t="str">
        <f t="shared" si="3"/>
        <v>0.1-1 mg/kg/min</v>
      </c>
      <c r="Q16" s="850">
        <f t="shared" si="0"/>
        <v>500</v>
      </c>
      <c r="R16" s="850">
        <f t="shared" si="1"/>
        <v>50</v>
      </c>
      <c r="S16" s="850">
        <f>HLOOKUP(C16,Tbl_Glob_Conv_EenhCont,VLOOKUP(D16,Tbl_Glob_Conv_EenhCont,2,FALSE),FALSE)</f>
        <v>1.6666666666666666E-2</v>
      </c>
    </row>
    <row r="17" spans="1:19" x14ac:dyDescent="0.2">
      <c r="A17" s="853">
        <f t="shared" si="2"/>
        <v>14</v>
      </c>
      <c r="B17" s="854" t="s">
        <v>473</v>
      </c>
      <c r="C17" s="854" t="s">
        <v>159</v>
      </c>
      <c r="D17" s="854" t="s">
        <v>712</v>
      </c>
      <c r="E17" s="854">
        <v>0.5</v>
      </c>
      <c r="F17" s="854">
        <v>50</v>
      </c>
      <c r="G17" s="854">
        <v>1</v>
      </c>
      <c r="H17" s="854">
        <v>50</v>
      </c>
      <c r="I17" s="857">
        <v>5</v>
      </c>
      <c r="J17" s="857">
        <v>50</v>
      </c>
      <c r="K17" s="854">
        <v>1</v>
      </c>
      <c r="L17" s="854">
        <v>5</v>
      </c>
      <c r="M17" s="854">
        <v>10</v>
      </c>
      <c r="N17" s="854">
        <v>1</v>
      </c>
      <c r="O17" s="854"/>
      <c r="P17" s="850" t="str">
        <f t="shared" si="3"/>
        <v>1-5 microg/kg/uur</v>
      </c>
      <c r="Q17" s="850">
        <f t="shared" si="0"/>
        <v>0.5</v>
      </c>
      <c r="R17" s="850">
        <f t="shared" si="1"/>
        <v>50</v>
      </c>
      <c r="S17" s="850">
        <f>HLOOKUP(C17,Tbl_Glob_Conv_EenhCont,VLOOKUP(D17,Tbl_Glob_Conv_EenhCont,2,FALSE),FALSE)</f>
        <v>1000</v>
      </c>
    </row>
    <row r="18" spans="1:19" x14ac:dyDescent="0.2">
      <c r="A18" s="853">
        <f t="shared" si="2"/>
        <v>15</v>
      </c>
      <c r="B18" s="854" t="s">
        <v>460</v>
      </c>
      <c r="C18" s="854" t="s">
        <v>159</v>
      </c>
      <c r="D18" s="854" t="s">
        <v>576</v>
      </c>
      <c r="E18" s="854">
        <v>0.2</v>
      </c>
      <c r="F18" s="854">
        <v>20</v>
      </c>
      <c r="G18" s="854">
        <v>0.4</v>
      </c>
      <c r="H18" s="854">
        <v>20</v>
      </c>
      <c r="I18" s="857">
        <v>0.8</v>
      </c>
      <c r="J18" s="857">
        <v>20</v>
      </c>
      <c r="K18" s="854">
        <v>0.05</v>
      </c>
      <c r="L18" s="854">
        <v>5</v>
      </c>
      <c r="M18" s="854">
        <v>10</v>
      </c>
      <c r="N18" s="854">
        <v>1</v>
      </c>
      <c r="O18" s="854"/>
      <c r="P18" s="850" t="str">
        <f t="shared" si="3"/>
        <v>0.05-5 microg/kg/min</v>
      </c>
      <c r="Q18" s="850">
        <f t="shared" si="0"/>
        <v>0.2</v>
      </c>
      <c r="R18" s="850">
        <f t="shared" si="1"/>
        <v>20</v>
      </c>
      <c r="S18" s="850">
        <f>HLOOKUP(C18,Tbl_Glob_Conv_EenhCont,VLOOKUP(D18,Tbl_Glob_Conv_EenhCont,2,FALSE),FALSE)</f>
        <v>16.666666666666668</v>
      </c>
    </row>
    <row r="19" spans="1:19" x14ac:dyDescent="0.2">
      <c r="A19" s="853">
        <f t="shared" si="2"/>
        <v>16</v>
      </c>
      <c r="B19" s="854" t="s">
        <v>165</v>
      </c>
      <c r="C19" s="854" t="s">
        <v>159</v>
      </c>
      <c r="D19" s="854" t="s">
        <v>355</v>
      </c>
      <c r="E19" s="854">
        <v>10</v>
      </c>
      <c r="F19" s="854">
        <v>50</v>
      </c>
      <c r="G19" s="854">
        <v>20</v>
      </c>
      <c r="H19" s="854">
        <v>50</v>
      </c>
      <c r="I19" s="857">
        <v>40</v>
      </c>
      <c r="J19" s="857">
        <v>50</v>
      </c>
      <c r="K19" s="854">
        <v>1</v>
      </c>
      <c r="L19" s="854">
        <v>4</v>
      </c>
      <c r="M19" s="854">
        <v>6</v>
      </c>
      <c r="N19" s="854">
        <v>1</v>
      </c>
      <c r="O19" s="854"/>
      <c r="P19" s="850" t="str">
        <f t="shared" si="3"/>
        <v>1-4 mg/kg/dag</v>
      </c>
      <c r="Q19" s="850">
        <f t="shared" si="0"/>
        <v>10</v>
      </c>
      <c r="R19" s="850">
        <f t="shared" si="1"/>
        <v>50</v>
      </c>
      <c r="S19" s="850">
        <f>HLOOKUP(C19,Tbl_Glob_Conv_EenhCont,VLOOKUP(D19,Tbl_Glob_Conv_EenhCont,2,FALSE),FALSE)</f>
        <v>24</v>
      </c>
    </row>
    <row r="20" spans="1:19" x14ac:dyDescent="0.2">
      <c r="A20" s="853">
        <f t="shared" si="2"/>
        <v>17</v>
      </c>
      <c r="B20" s="854" t="s">
        <v>183</v>
      </c>
      <c r="C20" s="854" t="s">
        <v>5041</v>
      </c>
      <c r="D20" s="854" t="s">
        <v>184</v>
      </c>
      <c r="E20" s="854">
        <v>5000</v>
      </c>
      <c r="F20" s="854">
        <v>50</v>
      </c>
      <c r="G20" s="854">
        <v>10000</v>
      </c>
      <c r="H20" s="854">
        <v>50</v>
      </c>
      <c r="I20" s="857">
        <v>20000</v>
      </c>
      <c r="J20" s="857">
        <v>50</v>
      </c>
      <c r="K20" s="854">
        <v>10</v>
      </c>
      <c r="L20" s="854">
        <v>20</v>
      </c>
      <c r="M20" s="854">
        <v>50</v>
      </c>
      <c r="N20" s="854">
        <v>1</v>
      </c>
      <c r="O20" s="854"/>
      <c r="P20" s="850" t="str">
        <f t="shared" si="3"/>
        <v>10-20 IE/kg/uur</v>
      </c>
      <c r="Q20" s="850">
        <f t="shared" si="0"/>
        <v>5000</v>
      </c>
      <c r="R20" s="850">
        <f t="shared" si="1"/>
        <v>50</v>
      </c>
      <c r="S20" s="850">
        <f>HLOOKUP(C20,Tbl_Glob_Conv_EenhCont,VLOOKUP(D20,Tbl_Glob_Conv_EenhCont,2,FALSE),FALSE)</f>
        <v>1</v>
      </c>
    </row>
    <row r="21" spans="1:19" x14ac:dyDescent="0.2">
      <c r="A21" s="853">
        <f t="shared" si="2"/>
        <v>18</v>
      </c>
      <c r="B21" s="854" t="s">
        <v>461</v>
      </c>
      <c r="C21" s="854" t="s">
        <v>5041</v>
      </c>
      <c r="D21" s="854" t="s">
        <v>184</v>
      </c>
      <c r="E21" s="854">
        <v>10</v>
      </c>
      <c r="F21" s="854">
        <v>50</v>
      </c>
      <c r="G21" s="854">
        <v>10</v>
      </c>
      <c r="H21" s="854">
        <v>50</v>
      </c>
      <c r="I21" s="857">
        <v>50</v>
      </c>
      <c r="J21" s="857">
        <v>50</v>
      </c>
      <c r="K21" s="854">
        <v>0.02</v>
      </c>
      <c r="L21" s="854">
        <v>0.125</v>
      </c>
      <c r="M21" s="854">
        <v>2</v>
      </c>
      <c r="N21" s="854">
        <v>1</v>
      </c>
      <c r="O21" s="854"/>
      <c r="P21" s="850" t="str">
        <f t="shared" si="3"/>
        <v>0.02-0.125 IE/kg/uur</v>
      </c>
      <c r="Q21" s="850">
        <f t="shared" si="0"/>
        <v>10</v>
      </c>
      <c r="R21" s="850">
        <f t="shared" si="1"/>
        <v>50</v>
      </c>
      <c r="S21" s="850">
        <f>HLOOKUP(C21,Tbl_Glob_Conv_EenhCont,VLOOKUP(D21,Tbl_Glob_Conv_EenhCont,2,FALSE),FALSE)</f>
        <v>1</v>
      </c>
    </row>
    <row r="22" spans="1:19" x14ac:dyDescent="0.2">
      <c r="A22" s="853">
        <f t="shared" si="2"/>
        <v>19</v>
      </c>
      <c r="B22" s="854" t="s">
        <v>385</v>
      </c>
      <c r="C22" s="854" t="s">
        <v>159</v>
      </c>
      <c r="D22" s="854" t="s">
        <v>576</v>
      </c>
      <c r="E22" s="854">
        <v>2</v>
      </c>
      <c r="F22" s="854">
        <v>50</v>
      </c>
      <c r="G22" s="854">
        <v>2</v>
      </c>
      <c r="H22" s="854">
        <v>50</v>
      </c>
      <c r="I22" s="857">
        <v>2</v>
      </c>
      <c r="J22" s="857">
        <v>50</v>
      </c>
      <c r="K22" s="854">
        <v>0.01</v>
      </c>
      <c r="L22" s="854">
        <v>1.5</v>
      </c>
      <c r="M22" s="854">
        <v>3</v>
      </c>
      <c r="N22" s="854">
        <v>1</v>
      </c>
      <c r="O22" s="854"/>
      <c r="P22" s="850" t="str">
        <f t="shared" si="3"/>
        <v>0.01-1.5 microg/kg/min</v>
      </c>
      <c r="Q22" s="850">
        <f t="shared" si="0"/>
        <v>2</v>
      </c>
      <c r="R22" s="850">
        <f t="shared" si="1"/>
        <v>50</v>
      </c>
      <c r="S22" s="850">
        <f>HLOOKUP(C22,Tbl_Glob_Conv_EenhCont,VLOOKUP(D22,Tbl_Glob_Conv_EenhCont,2,FALSE),FALSE)</f>
        <v>16.666666666666668</v>
      </c>
    </row>
    <row r="23" spans="1:19" x14ac:dyDescent="0.2">
      <c r="A23" s="853">
        <f t="shared" si="2"/>
        <v>20</v>
      </c>
      <c r="B23" s="854" t="s">
        <v>462</v>
      </c>
      <c r="C23" s="854" t="s">
        <v>159</v>
      </c>
      <c r="D23" s="854" t="s">
        <v>354</v>
      </c>
      <c r="E23" s="854">
        <v>250</v>
      </c>
      <c r="F23" s="854">
        <v>50</v>
      </c>
      <c r="G23" s="854">
        <v>250</v>
      </c>
      <c r="H23" s="854">
        <v>50</v>
      </c>
      <c r="I23" s="857">
        <v>250</v>
      </c>
      <c r="J23" s="857">
        <v>50</v>
      </c>
      <c r="K23" s="854">
        <v>0.25</v>
      </c>
      <c r="L23" s="854">
        <v>3</v>
      </c>
      <c r="M23" s="854">
        <v>4</v>
      </c>
      <c r="N23" s="854">
        <v>1</v>
      </c>
      <c r="O23" s="854"/>
      <c r="P23" s="850" t="str">
        <f t="shared" si="3"/>
        <v>0.25-3 mg/kg/uur</v>
      </c>
      <c r="Q23" s="850">
        <f t="shared" si="0"/>
        <v>250</v>
      </c>
      <c r="R23" s="850">
        <f t="shared" si="1"/>
        <v>50</v>
      </c>
      <c r="S23" s="850">
        <f>HLOOKUP(C23,Tbl_Glob_Conv_EenhCont,VLOOKUP(D23,Tbl_Glob_Conv_EenhCont,2,FALSE),FALSE)</f>
        <v>1</v>
      </c>
    </row>
    <row r="24" spans="1:19" x14ac:dyDescent="0.2">
      <c r="A24" s="853">
        <f t="shared" si="2"/>
        <v>21</v>
      </c>
      <c r="B24" s="854" t="s">
        <v>463</v>
      </c>
      <c r="C24" s="854" t="s">
        <v>159</v>
      </c>
      <c r="D24" s="854" t="s">
        <v>354</v>
      </c>
      <c r="E24" s="854">
        <v>500</v>
      </c>
      <c r="F24" s="854">
        <v>50</v>
      </c>
      <c r="G24" s="854">
        <v>1000</v>
      </c>
      <c r="H24" s="854">
        <v>50</v>
      </c>
      <c r="I24" s="857">
        <v>2000</v>
      </c>
      <c r="J24" s="857">
        <v>50</v>
      </c>
      <c r="K24" s="854">
        <v>3</v>
      </c>
      <c r="L24" s="854">
        <v>20</v>
      </c>
      <c r="M24" s="854">
        <v>25</v>
      </c>
      <c r="N24" s="854">
        <v>1</v>
      </c>
      <c r="O24" s="854"/>
      <c r="P24" s="850" t="str">
        <f t="shared" si="3"/>
        <v>3-20 mg/kg/uur</v>
      </c>
      <c r="Q24" s="850">
        <f t="shared" si="0"/>
        <v>500</v>
      </c>
      <c r="R24" s="850">
        <f t="shared" si="1"/>
        <v>50</v>
      </c>
      <c r="S24" s="850">
        <f>HLOOKUP(C24,Tbl_Glob_Conv_EenhCont,VLOOKUP(D24,Tbl_Glob_Conv_EenhCont,2,FALSE),FALSE)</f>
        <v>1</v>
      </c>
    </row>
    <row r="25" spans="1:19" x14ac:dyDescent="0.2">
      <c r="A25" s="853">
        <f t="shared" si="2"/>
        <v>22</v>
      </c>
      <c r="B25" s="854" t="s">
        <v>349</v>
      </c>
      <c r="C25" s="854" t="s">
        <v>159</v>
      </c>
      <c r="D25" s="854" t="s">
        <v>354</v>
      </c>
      <c r="E25" s="854">
        <v>25</v>
      </c>
      <c r="F25" s="854">
        <v>50</v>
      </c>
      <c r="G25" s="854">
        <v>50</v>
      </c>
      <c r="H25" s="854">
        <v>50</v>
      </c>
      <c r="I25" s="857">
        <v>50</v>
      </c>
      <c r="J25" s="857">
        <v>50</v>
      </c>
      <c r="K25" s="854">
        <v>0.05</v>
      </c>
      <c r="L25" s="854">
        <v>0.5</v>
      </c>
      <c r="M25" s="854">
        <v>1</v>
      </c>
      <c r="N25" s="854">
        <v>1</v>
      </c>
      <c r="O25" s="854"/>
      <c r="P25" s="850" t="str">
        <f t="shared" si="3"/>
        <v>0.05-0.5 mg/kg/uur</v>
      </c>
      <c r="Q25" s="850">
        <f t="shared" si="0"/>
        <v>25</v>
      </c>
      <c r="R25" s="850">
        <f t="shared" si="1"/>
        <v>50</v>
      </c>
      <c r="S25" s="850">
        <f>HLOOKUP(C25,Tbl_Glob_Conv_EenhCont,VLOOKUP(D25,Tbl_Glob_Conv_EenhCont,2,FALSE),FALSE)</f>
        <v>1</v>
      </c>
    </row>
    <row r="26" spans="1:19" x14ac:dyDescent="0.2">
      <c r="A26" s="853">
        <f t="shared" si="2"/>
        <v>23</v>
      </c>
      <c r="B26" s="854" t="s">
        <v>464</v>
      </c>
      <c r="C26" s="854" t="s">
        <v>159</v>
      </c>
      <c r="D26" s="854" t="s">
        <v>576</v>
      </c>
      <c r="E26" s="854">
        <v>5</v>
      </c>
      <c r="F26" s="854">
        <v>50</v>
      </c>
      <c r="G26" s="854">
        <v>10</v>
      </c>
      <c r="H26" s="854">
        <v>50</v>
      </c>
      <c r="I26" s="857">
        <v>20</v>
      </c>
      <c r="J26" s="857">
        <v>50</v>
      </c>
      <c r="K26" s="854">
        <v>0.15</v>
      </c>
      <c r="L26" s="854">
        <v>0.5</v>
      </c>
      <c r="M26" s="854">
        <v>0.75</v>
      </c>
      <c r="N26" s="854">
        <v>1</v>
      </c>
      <c r="O26" s="854"/>
      <c r="P26" s="850" t="str">
        <f t="shared" si="3"/>
        <v>0.15-0.5 microg/kg/min</v>
      </c>
      <c r="Q26" s="850">
        <f t="shared" si="0"/>
        <v>5</v>
      </c>
      <c r="R26" s="850">
        <f t="shared" si="1"/>
        <v>50</v>
      </c>
      <c r="S26" s="850">
        <f>HLOOKUP(C26,Tbl_Glob_Conv_EenhCont,VLOOKUP(D26,Tbl_Glob_Conv_EenhCont,2,FALSE),FALSE)</f>
        <v>16.666666666666668</v>
      </c>
    </row>
    <row r="27" spans="1:19" x14ac:dyDescent="0.2">
      <c r="A27" s="853">
        <f t="shared" si="2"/>
        <v>24</v>
      </c>
      <c r="B27" s="854" t="s">
        <v>116</v>
      </c>
      <c r="C27" s="854" t="s">
        <v>159</v>
      </c>
      <c r="D27" s="854" t="s">
        <v>355</v>
      </c>
      <c r="E27" s="854">
        <v>2</v>
      </c>
      <c r="F27" s="854">
        <v>50</v>
      </c>
      <c r="G27" s="854">
        <v>5</v>
      </c>
      <c r="H27" s="854">
        <v>50</v>
      </c>
      <c r="I27" s="857">
        <v>10</v>
      </c>
      <c r="J27" s="857">
        <v>50</v>
      </c>
      <c r="K27" s="854">
        <v>0.1</v>
      </c>
      <c r="L27" s="854">
        <v>0.5</v>
      </c>
      <c r="M27" s="854">
        <v>1</v>
      </c>
      <c r="N27" s="854">
        <v>1</v>
      </c>
      <c r="O27" s="854"/>
      <c r="P27" s="850" t="str">
        <f t="shared" si="3"/>
        <v>0.1-0.5 mg/kg/dag</v>
      </c>
      <c r="Q27" s="850">
        <f t="shared" si="0"/>
        <v>2</v>
      </c>
      <c r="R27" s="850">
        <f t="shared" si="1"/>
        <v>50</v>
      </c>
      <c r="S27" s="850">
        <f>HLOOKUP(C27,Tbl_Glob_Conv_EenhCont,VLOOKUP(D27,Tbl_Glob_Conv_EenhCont,2,FALSE),FALSE)</f>
        <v>24</v>
      </c>
    </row>
    <row r="28" spans="1:19" x14ac:dyDescent="0.2">
      <c r="A28" s="853">
        <f t="shared" si="2"/>
        <v>25</v>
      </c>
      <c r="B28" s="854" t="s">
        <v>328</v>
      </c>
      <c r="C28" s="854" t="s">
        <v>472</v>
      </c>
      <c r="D28" s="854" t="s">
        <v>383</v>
      </c>
      <c r="E28" s="854">
        <v>25</v>
      </c>
      <c r="F28" s="854">
        <v>50</v>
      </c>
      <c r="G28" s="854">
        <v>25</v>
      </c>
      <c r="H28" s="854">
        <v>50</v>
      </c>
      <c r="I28" s="857">
        <v>25</v>
      </c>
      <c r="J28" s="857">
        <v>50</v>
      </c>
      <c r="K28" s="854">
        <v>2</v>
      </c>
      <c r="L28" s="854">
        <v>4</v>
      </c>
      <c r="M28" s="854">
        <v>6</v>
      </c>
      <c r="N28" s="854">
        <v>1</v>
      </c>
      <c r="O28" s="854"/>
      <c r="P28" s="850" t="str">
        <f t="shared" si="3"/>
        <v>2-4 mmol/kg/dag</v>
      </c>
      <c r="Q28" s="850">
        <f t="shared" si="0"/>
        <v>25</v>
      </c>
      <c r="R28" s="850">
        <f t="shared" si="1"/>
        <v>50</v>
      </c>
      <c r="S28" s="850">
        <f>HLOOKUP(C28,Tbl_Glob_Conv_EenhCont,VLOOKUP(D28,Tbl_Glob_Conv_EenhCont,2,FALSE),FALSE)</f>
        <v>24</v>
      </c>
    </row>
    <row r="29" spans="1:19" x14ac:dyDescent="0.2">
      <c r="A29" s="853">
        <f t="shared" si="2"/>
        <v>26</v>
      </c>
      <c r="B29" s="854" t="s">
        <v>57</v>
      </c>
      <c r="C29" s="854" t="s">
        <v>159</v>
      </c>
      <c r="D29" s="854" t="s">
        <v>576</v>
      </c>
      <c r="E29" s="854">
        <v>10</v>
      </c>
      <c r="F29" s="854">
        <v>50</v>
      </c>
      <c r="G29" s="854">
        <v>20</v>
      </c>
      <c r="H29" s="854">
        <v>50</v>
      </c>
      <c r="I29" s="857">
        <v>40</v>
      </c>
      <c r="J29" s="857">
        <v>50</v>
      </c>
      <c r="K29" s="854">
        <v>0.5</v>
      </c>
      <c r="L29" s="854">
        <v>8</v>
      </c>
      <c r="M29" s="854">
        <v>10</v>
      </c>
      <c r="N29" s="854">
        <v>1</v>
      </c>
      <c r="O29" s="854"/>
      <c r="P29" s="850" t="str">
        <f t="shared" si="3"/>
        <v>0.5-8 microg/kg/min</v>
      </c>
      <c r="Q29" s="850">
        <f t="shared" si="0"/>
        <v>10</v>
      </c>
      <c r="R29" s="850">
        <f t="shared" si="1"/>
        <v>50</v>
      </c>
      <c r="S29" s="850">
        <f>HLOOKUP(C29,Tbl_Glob_Conv_EenhCont,VLOOKUP(D29,Tbl_Glob_Conv_EenhCont,2,FALSE),FALSE)</f>
        <v>16.666666666666668</v>
      </c>
    </row>
    <row r="30" spans="1:19" x14ac:dyDescent="0.2">
      <c r="A30" s="853">
        <f t="shared" si="2"/>
        <v>27</v>
      </c>
      <c r="B30" s="854" t="s">
        <v>381</v>
      </c>
      <c r="C30" s="854" t="s">
        <v>159</v>
      </c>
      <c r="D30" s="854" t="s">
        <v>576</v>
      </c>
      <c r="E30" s="854">
        <v>1</v>
      </c>
      <c r="F30" s="854">
        <v>50</v>
      </c>
      <c r="G30" s="854">
        <v>2</v>
      </c>
      <c r="H30" s="854">
        <v>50</v>
      </c>
      <c r="I30" s="857">
        <v>5</v>
      </c>
      <c r="J30" s="857">
        <v>50</v>
      </c>
      <c r="K30" s="854">
        <v>0.05</v>
      </c>
      <c r="L30" s="854">
        <v>0.5</v>
      </c>
      <c r="M30" s="854">
        <v>1</v>
      </c>
      <c r="N30" s="854">
        <v>1</v>
      </c>
      <c r="O30" s="854"/>
      <c r="P30" s="850" t="str">
        <f t="shared" si="3"/>
        <v>0.05-0.5 microg/kg/min</v>
      </c>
      <c r="Q30" s="850">
        <f t="shared" si="0"/>
        <v>1</v>
      </c>
      <c r="R30" s="850">
        <f t="shared" si="1"/>
        <v>50</v>
      </c>
      <c r="S30" s="850">
        <f>HLOOKUP(C30,Tbl_Glob_Conv_EenhCont,VLOOKUP(D30,Tbl_Glob_Conv_EenhCont,2,FALSE),FALSE)</f>
        <v>16.666666666666668</v>
      </c>
    </row>
    <row r="31" spans="1:19" x14ac:dyDescent="0.2">
      <c r="A31" s="853">
        <f t="shared" si="2"/>
        <v>28</v>
      </c>
      <c r="B31" s="854" t="s">
        <v>319</v>
      </c>
      <c r="C31" s="854" t="s">
        <v>159</v>
      </c>
      <c r="D31" s="854" t="s">
        <v>354</v>
      </c>
      <c r="E31" s="854">
        <v>10</v>
      </c>
      <c r="F31" s="854">
        <v>1</v>
      </c>
      <c r="G31" s="854">
        <v>10</v>
      </c>
      <c r="H31" s="854">
        <v>1</v>
      </c>
      <c r="I31" s="857">
        <v>10</v>
      </c>
      <c r="J31" s="857">
        <v>1</v>
      </c>
      <c r="K31" s="854">
        <v>1</v>
      </c>
      <c r="L31" s="854">
        <v>4</v>
      </c>
      <c r="M31" s="854">
        <v>4</v>
      </c>
      <c r="N31" s="854">
        <v>1</v>
      </c>
      <c r="O31" s="854"/>
      <c r="P31" s="850" t="str">
        <f t="shared" si="3"/>
        <v>1-4 mg/kg/uur</v>
      </c>
      <c r="Q31" s="850">
        <f t="shared" si="0"/>
        <v>10</v>
      </c>
      <c r="R31" s="850">
        <f t="shared" si="1"/>
        <v>1</v>
      </c>
      <c r="S31" s="850">
        <f>HLOOKUP(C31,Tbl_Glob_Conv_EenhCont,VLOOKUP(D31,Tbl_Glob_Conv_EenhCont,2,FALSE),FALSE)</f>
        <v>1</v>
      </c>
    </row>
    <row r="32" spans="1:19" x14ac:dyDescent="0.2">
      <c r="A32" s="853">
        <f t="shared" si="2"/>
        <v>29</v>
      </c>
      <c r="B32" s="854" t="s">
        <v>320</v>
      </c>
      <c r="C32" s="854" t="s">
        <v>159</v>
      </c>
      <c r="D32" s="854" t="s">
        <v>354</v>
      </c>
      <c r="E32" s="854">
        <v>20</v>
      </c>
      <c r="F32" s="854">
        <v>1</v>
      </c>
      <c r="G32" s="854">
        <v>20</v>
      </c>
      <c r="H32" s="854">
        <v>1</v>
      </c>
      <c r="I32" s="857">
        <v>20</v>
      </c>
      <c r="J32" s="857">
        <v>1</v>
      </c>
      <c r="K32" s="854">
        <v>1</v>
      </c>
      <c r="L32" s="854">
        <v>4</v>
      </c>
      <c r="M32" s="854">
        <v>4</v>
      </c>
      <c r="N32" s="854">
        <v>1</v>
      </c>
      <c r="O32" s="854"/>
      <c r="P32" s="850" t="str">
        <f t="shared" si="3"/>
        <v>1-4 mg/kg/uur</v>
      </c>
      <c r="Q32" s="850">
        <f t="shared" si="0"/>
        <v>20</v>
      </c>
      <c r="R32" s="850">
        <f t="shared" si="1"/>
        <v>1</v>
      </c>
      <c r="S32" s="850">
        <f>HLOOKUP(C32,Tbl_Glob_Conv_EenhCont,VLOOKUP(D32,Tbl_Glob_Conv_EenhCont,2,FALSE),FALSE)</f>
        <v>1</v>
      </c>
    </row>
    <row r="33" spans="1:19" x14ac:dyDescent="0.2">
      <c r="A33" s="853">
        <f t="shared" si="2"/>
        <v>30</v>
      </c>
      <c r="B33" s="854" t="s">
        <v>266</v>
      </c>
      <c r="C33" s="854" t="s">
        <v>159</v>
      </c>
      <c r="D33" s="854" t="s">
        <v>354</v>
      </c>
      <c r="E33" s="854">
        <v>50</v>
      </c>
      <c r="F33" s="854">
        <v>50</v>
      </c>
      <c r="G33" s="854">
        <v>100</v>
      </c>
      <c r="H33" s="854">
        <v>50</v>
      </c>
      <c r="I33" s="857">
        <v>200</v>
      </c>
      <c r="J33" s="857">
        <v>50</v>
      </c>
      <c r="K33" s="854">
        <v>0.6</v>
      </c>
      <c r="L33" s="854">
        <v>1.2</v>
      </c>
      <c r="M33" s="854">
        <v>2</v>
      </c>
      <c r="N33" s="854">
        <v>1</v>
      </c>
      <c r="O33" s="854"/>
      <c r="P33" s="850" t="str">
        <f t="shared" si="3"/>
        <v>0.6-1.2 mg/kg/uur</v>
      </c>
      <c r="Q33" s="850">
        <f t="shared" si="0"/>
        <v>50</v>
      </c>
      <c r="R33" s="850">
        <f t="shared" si="1"/>
        <v>50</v>
      </c>
      <c r="S33" s="850">
        <f>HLOOKUP(C33,Tbl_Glob_Conv_EenhCont,VLOOKUP(D33,Tbl_Glob_Conv_EenhCont,2,FALSE),FALSE)</f>
        <v>1</v>
      </c>
    </row>
    <row r="34" spans="1:19" x14ac:dyDescent="0.2">
      <c r="A34" s="853">
        <f t="shared" si="2"/>
        <v>31</v>
      </c>
      <c r="B34" s="854" t="s">
        <v>27</v>
      </c>
      <c r="C34" s="854" t="s">
        <v>159</v>
      </c>
      <c r="D34" s="854" t="s">
        <v>576</v>
      </c>
      <c r="E34" s="854">
        <v>5</v>
      </c>
      <c r="F34" s="854">
        <v>50</v>
      </c>
      <c r="G34" s="854">
        <v>10</v>
      </c>
      <c r="H34" s="854">
        <v>50</v>
      </c>
      <c r="I34" s="857">
        <v>20</v>
      </c>
      <c r="J34" s="857">
        <v>50</v>
      </c>
      <c r="K34" s="854">
        <v>0.1</v>
      </c>
      <c r="L34" s="854">
        <v>10</v>
      </c>
      <c r="M34" s="854">
        <v>15</v>
      </c>
      <c r="N34" s="854">
        <v>1</v>
      </c>
      <c r="O34" s="854"/>
      <c r="P34" s="850" t="str">
        <f t="shared" si="3"/>
        <v>0.1-10 microg/kg/min</v>
      </c>
      <c r="Q34" s="850">
        <f t="shared" si="0"/>
        <v>5</v>
      </c>
      <c r="R34" s="850">
        <f t="shared" si="1"/>
        <v>50</v>
      </c>
      <c r="S34" s="850">
        <f>HLOOKUP(C34,Tbl_Glob_Conv_EenhCont,VLOOKUP(D34,Tbl_Glob_Conv_EenhCont,2,FALSE),FALSE)</f>
        <v>16.666666666666668</v>
      </c>
    </row>
    <row r="35" spans="1:19" x14ac:dyDescent="0.2">
      <c r="A35" s="853">
        <f t="shared" si="2"/>
        <v>32</v>
      </c>
      <c r="B35" s="854" t="s">
        <v>347</v>
      </c>
      <c r="C35" s="854" t="s">
        <v>159</v>
      </c>
      <c r="D35" s="854" t="s">
        <v>354</v>
      </c>
      <c r="E35" s="854">
        <v>1000</v>
      </c>
      <c r="F35" s="854">
        <v>50</v>
      </c>
      <c r="G35" s="854">
        <v>2000</v>
      </c>
      <c r="H35" s="854">
        <v>50</v>
      </c>
      <c r="I35" s="857">
        <v>4000</v>
      </c>
      <c r="J35" s="857">
        <v>50</v>
      </c>
      <c r="K35" s="854">
        <v>5</v>
      </c>
      <c r="L35" s="854">
        <v>10</v>
      </c>
      <c r="M35" s="854">
        <v>20</v>
      </c>
      <c r="N35" s="854">
        <v>1</v>
      </c>
      <c r="O35" s="854" t="s">
        <v>434</v>
      </c>
      <c r="P35" s="850" t="str">
        <f t="shared" si="3"/>
        <v>Op geleide van spiegels</v>
      </c>
      <c r="Q35" s="850">
        <f t="shared" si="0"/>
        <v>1000</v>
      </c>
      <c r="R35" s="850">
        <f t="shared" si="1"/>
        <v>50</v>
      </c>
      <c r="S35" s="850">
        <f>HLOOKUP(C35,Tbl_Glob_Conv_EenhCont,VLOOKUP(D35,Tbl_Glob_Conv_EenhCont,2,FALSE),FALSE)</f>
        <v>1</v>
      </c>
    </row>
    <row r="36" spans="1:19" x14ac:dyDescent="0.2">
      <c r="A36" s="855" t="s">
        <v>5083</v>
      </c>
      <c r="B36" s="856">
        <v>1</v>
      </c>
      <c r="C36" s="856">
        <f>B36+1</f>
        <v>2</v>
      </c>
      <c r="D36" s="856">
        <f t="shared" ref="D36:S36" si="4">C36+1</f>
        <v>3</v>
      </c>
      <c r="E36" s="856">
        <f t="shared" si="4"/>
        <v>4</v>
      </c>
      <c r="F36" s="856">
        <f t="shared" si="4"/>
        <v>5</v>
      </c>
      <c r="G36" s="856">
        <f t="shared" si="4"/>
        <v>6</v>
      </c>
      <c r="H36" s="856">
        <f t="shared" si="4"/>
        <v>7</v>
      </c>
      <c r="I36" s="856">
        <f t="shared" si="4"/>
        <v>8</v>
      </c>
      <c r="J36" s="856">
        <f t="shared" si="4"/>
        <v>9</v>
      </c>
      <c r="K36" s="856">
        <f t="shared" si="4"/>
        <v>10</v>
      </c>
      <c r="L36" s="856">
        <f t="shared" si="4"/>
        <v>11</v>
      </c>
      <c r="M36" s="856">
        <f t="shared" si="4"/>
        <v>12</v>
      </c>
      <c r="N36" s="856">
        <f t="shared" si="4"/>
        <v>13</v>
      </c>
      <c r="O36" s="856">
        <f t="shared" si="4"/>
        <v>14</v>
      </c>
      <c r="P36" s="856">
        <f t="shared" si="4"/>
        <v>15</v>
      </c>
      <c r="Q36" s="856">
        <f t="shared" si="4"/>
        <v>16</v>
      </c>
      <c r="R36" s="856">
        <f t="shared" si="4"/>
        <v>17</v>
      </c>
      <c r="S36" s="856">
        <f t="shared" si="4"/>
        <v>18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A2" sqref="A2"/>
    </sheetView>
  </sheetViews>
  <sheetFormatPr defaultRowHeight="12.75" x14ac:dyDescent="0.2"/>
  <cols>
    <col min="1" max="5" width="21.140625" customWidth="1"/>
  </cols>
  <sheetData>
    <row r="1" spans="1:5" s="1" customFormat="1" x14ac:dyDescent="0.2">
      <c r="A1" s="1" t="s">
        <v>949</v>
      </c>
      <c r="B1" s="1" t="s">
        <v>950</v>
      </c>
      <c r="C1" s="389" t="s">
        <v>951</v>
      </c>
      <c r="D1" s="389" t="s">
        <v>952</v>
      </c>
      <c r="E1" s="1" t="s">
        <v>953</v>
      </c>
    </row>
    <row r="2" spans="1:5" x14ac:dyDescent="0.2">
      <c r="A2" s="311"/>
      <c r="B2" s="311"/>
      <c r="C2" s="311"/>
      <c r="D2" s="311"/>
      <c r="E2" s="311"/>
    </row>
    <row r="3" spans="1:5" x14ac:dyDescent="0.2">
      <c r="A3" s="311" t="s">
        <v>90</v>
      </c>
      <c r="B3" s="311" t="s">
        <v>962</v>
      </c>
      <c r="C3" s="311">
        <v>0</v>
      </c>
      <c r="D3" s="311" t="s">
        <v>436</v>
      </c>
      <c r="E3" s="311" t="s">
        <v>161</v>
      </c>
    </row>
    <row r="4" spans="1:5" x14ac:dyDescent="0.2">
      <c r="A4" s="311" t="s">
        <v>89</v>
      </c>
      <c r="B4" s="311" t="s">
        <v>274</v>
      </c>
      <c r="C4" s="311">
        <v>1</v>
      </c>
      <c r="D4" s="311" t="s">
        <v>367</v>
      </c>
      <c r="E4" s="311" t="s">
        <v>159</v>
      </c>
    </row>
    <row r="5" spans="1:5" x14ac:dyDescent="0.2">
      <c r="A5" s="311" t="s">
        <v>38</v>
      </c>
      <c r="B5" s="311" t="s">
        <v>275</v>
      </c>
      <c r="C5" s="311">
        <v>0</v>
      </c>
      <c r="D5" s="312" t="s">
        <v>942</v>
      </c>
      <c r="E5" s="311" t="s">
        <v>31</v>
      </c>
    </row>
    <row r="6" spans="1:5" x14ac:dyDescent="0.2">
      <c r="A6" s="311" t="s">
        <v>300</v>
      </c>
      <c r="B6" s="311"/>
      <c r="C6" s="311">
        <v>1</v>
      </c>
      <c r="D6" s="311" t="s">
        <v>387</v>
      </c>
      <c r="E6" s="311" t="s">
        <v>66</v>
      </c>
    </row>
    <row r="7" spans="1:5" x14ac:dyDescent="0.2">
      <c r="A7" s="311" t="s">
        <v>39</v>
      </c>
      <c r="B7" s="311"/>
      <c r="C7" s="311">
        <v>2</v>
      </c>
      <c r="D7" s="311" t="s">
        <v>388</v>
      </c>
      <c r="E7" s="311" t="s">
        <v>160</v>
      </c>
    </row>
    <row r="8" spans="1:5" x14ac:dyDescent="0.2">
      <c r="A8" s="311" t="s">
        <v>200</v>
      </c>
      <c r="B8" s="311"/>
      <c r="C8" s="311">
        <v>3</v>
      </c>
      <c r="D8" s="311" t="s">
        <v>389</v>
      </c>
      <c r="E8" s="311"/>
    </row>
    <row r="9" spans="1:5" x14ac:dyDescent="0.2">
      <c r="A9" s="311" t="s">
        <v>358</v>
      </c>
      <c r="B9" s="311"/>
      <c r="C9" s="311">
        <v>4</v>
      </c>
      <c r="D9" s="311" t="s">
        <v>390</v>
      </c>
      <c r="E9" s="311"/>
    </row>
    <row r="10" spans="1:5" x14ac:dyDescent="0.2">
      <c r="A10" s="311" t="s">
        <v>359</v>
      </c>
      <c r="B10" s="311"/>
      <c r="C10" s="311">
        <v>5</v>
      </c>
      <c r="D10" s="311" t="s">
        <v>435</v>
      </c>
      <c r="E10" s="311"/>
    </row>
    <row r="11" spans="1:5" x14ac:dyDescent="0.2">
      <c r="A11" s="311" t="s">
        <v>360</v>
      </c>
      <c r="B11" s="311"/>
      <c r="C11" s="311">
        <v>6</v>
      </c>
      <c r="D11" s="311" t="s">
        <v>176</v>
      </c>
      <c r="E11" s="311"/>
    </row>
    <row r="12" spans="1:5" x14ac:dyDescent="0.2">
      <c r="A12" s="311" t="s">
        <v>50</v>
      </c>
      <c r="B12" s="311"/>
      <c r="C12" s="311">
        <v>8</v>
      </c>
      <c r="D12" s="311" t="s">
        <v>177</v>
      </c>
      <c r="E12" s="311"/>
    </row>
    <row r="13" spans="1:5" x14ac:dyDescent="0.2">
      <c r="A13" s="311" t="s">
        <v>148</v>
      </c>
      <c r="B13" s="311"/>
      <c r="C13" s="311">
        <v>12</v>
      </c>
      <c r="D13" s="311" t="s">
        <v>178</v>
      </c>
      <c r="E13" s="311"/>
    </row>
    <row r="14" spans="1:5" x14ac:dyDescent="0.2">
      <c r="A14" s="311"/>
      <c r="B14" s="311"/>
      <c r="C14" s="311">
        <v>24</v>
      </c>
      <c r="D14" s="311" t="s">
        <v>26</v>
      </c>
      <c r="E14" s="311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N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656" customWidth="1"/>
    <col min="2" max="2" width="6" style="656" customWidth="1"/>
    <col min="3" max="3" width="3" style="656" customWidth="1"/>
    <col min="4" max="4" width="16.5703125" style="656" customWidth="1"/>
    <col min="5" max="5" width="17.28515625" style="656" customWidth="1"/>
    <col min="6" max="6" width="17.5703125" style="656" customWidth="1"/>
    <col min="7" max="7" width="18.5703125" style="656" customWidth="1"/>
    <col min="8" max="8" width="18.28515625" style="656" customWidth="1"/>
    <col min="9" max="9" width="9.7109375" style="656" customWidth="1"/>
    <col min="10" max="10" width="9.140625" style="656"/>
    <col min="11" max="11" width="9.42578125" style="656" bestFit="1" customWidth="1"/>
    <col min="12" max="12" width="9.28515625" style="656" bestFit="1" customWidth="1"/>
    <col min="13" max="16384" width="9.140625" style="656"/>
  </cols>
  <sheetData>
    <row r="1" spans="2:14" s="642" customFormat="1" ht="17.25" customHeight="1" x14ac:dyDescent="0.2">
      <c r="B1" s="564"/>
      <c r="C1" s="790"/>
      <c r="D1" s="564"/>
      <c r="E1" s="564"/>
      <c r="F1" s="564"/>
      <c r="G1" s="564"/>
      <c r="H1" s="564"/>
      <c r="I1" s="564"/>
      <c r="J1" s="564"/>
      <c r="K1" s="564"/>
    </row>
    <row r="2" spans="2:14" s="642" customFormat="1" ht="17.25" customHeight="1" x14ac:dyDescent="0.2">
      <c r="B2" s="564"/>
      <c r="C2" s="564"/>
      <c r="D2" s="596" t="s">
        <v>297</v>
      </c>
      <c r="E2" s="597">
        <f ca="1">Var_AfspraakDatum</f>
        <v>42751</v>
      </c>
      <c r="F2" s="596" t="s">
        <v>298</v>
      </c>
      <c r="G2" s="791" t="str">
        <f>PatDetails!B15</f>
        <v/>
      </c>
      <c r="H2" s="600" t="str">
        <f>PatDetails!B23</f>
        <v>Gewicht:</v>
      </c>
      <c r="I2" s="600"/>
      <c r="J2" s="794" t="s">
        <v>490</v>
      </c>
      <c r="K2" s="792">
        <f>__1_Bed</f>
        <v>0</v>
      </c>
    </row>
    <row r="3" spans="2:14" s="642" customFormat="1" ht="17.25" customHeight="1" x14ac:dyDescent="0.2">
      <c r="B3" s="564"/>
      <c r="C3" s="564"/>
      <c r="D3" s="596" t="s">
        <v>28</v>
      </c>
      <c r="E3" s="601" t="str">
        <f>PatDetails!B21</f>
        <v/>
      </c>
      <c r="F3" s="596" t="s">
        <v>305</v>
      </c>
      <c r="G3" s="793" t="str">
        <f ca="1">PatDetails!B16</f>
        <v/>
      </c>
      <c r="H3" s="600" t="str">
        <f>PatDetails!B24</f>
        <v>Lengte:</v>
      </c>
      <c r="I3" s="600"/>
      <c r="J3" s="596"/>
      <c r="K3" s="596"/>
      <c r="L3" s="652"/>
    </row>
    <row r="4" spans="2:14" s="642" customFormat="1" ht="17.25" customHeight="1" x14ac:dyDescent="0.2">
      <c r="B4" s="564"/>
      <c r="C4" s="631"/>
      <c r="D4" s="602" t="s">
        <v>4314</v>
      </c>
      <c r="E4" s="596" t="str">
        <f>PatDetails!B17</f>
        <v/>
      </c>
      <c r="F4" s="596" t="s">
        <v>268</v>
      </c>
      <c r="G4" s="631" t="str">
        <f ca="1">PatDetails!B20</f>
        <v/>
      </c>
      <c r="H4" s="600" t="str">
        <f>PatDetails!B25</f>
        <v>Lichamelijk oppervlak:</v>
      </c>
      <c r="I4" s="600"/>
      <c r="J4" s="596"/>
      <c r="K4" s="596"/>
      <c r="L4" s="652"/>
    </row>
    <row r="5" spans="2:14" s="642" customFormat="1" ht="8.1" customHeight="1" x14ac:dyDescent="0.2">
      <c r="B5" s="564"/>
      <c r="C5" s="631"/>
      <c r="D5" s="596"/>
      <c r="E5" s="596"/>
      <c r="F5" s="598"/>
      <c r="G5" s="596"/>
      <c r="H5" s="605"/>
      <c r="I5" s="596"/>
      <c r="J5" s="596"/>
      <c r="K5" s="596"/>
      <c r="L5" s="652"/>
    </row>
    <row r="6" spans="2:14" ht="12.75" customHeight="1" x14ac:dyDescent="0.2"/>
    <row r="7" spans="2:14" ht="20.100000000000001" customHeight="1" x14ac:dyDescent="0.2">
      <c r="B7" s="565" t="s">
        <v>4115</v>
      </c>
      <c r="C7" s="810"/>
      <c r="D7" s="811" t="s">
        <v>25</v>
      </c>
      <c r="E7" s="565"/>
      <c r="F7" s="565"/>
      <c r="G7" s="565"/>
      <c r="H7" s="565"/>
      <c r="I7" s="565"/>
      <c r="J7" s="565"/>
      <c r="K7" s="565"/>
      <c r="L7" s="642"/>
      <c r="M7" s="657"/>
      <c r="N7" s="657"/>
    </row>
    <row r="8" spans="2:14" ht="9" customHeight="1" x14ac:dyDescent="0.2">
      <c r="B8" s="658"/>
      <c r="J8" s="642"/>
      <c r="K8" s="659"/>
      <c r="L8" s="659"/>
      <c r="M8" s="657"/>
      <c r="N8" s="657"/>
    </row>
    <row r="9" spans="2:14" ht="20.100000000000001" customHeight="1" x14ac:dyDescent="0.2">
      <c r="B9" s="660" t="str">
        <f>PedBerIVenPM!D2</f>
        <v/>
      </c>
      <c r="C9" s="563">
        <v>1</v>
      </c>
      <c r="E9" s="661"/>
      <c r="G9" s="662"/>
      <c r="H9" s="663" t="str">
        <f>PedBerIVenPM!C2</f>
        <v/>
      </c>
      <c r="J9" s="642"/>
      <c r="K9" s="664"/>
      <c r="L9" s="665"/>
      <c r="M9" s="657"/>
      <c r="N9" s="657"/>
    </row>
    <row r="10" spans="2:14" ht="20.100000000000001" customHeight="1" x14ac:dyDescent="0.2">
      <c r="B10" s="660" t="str">
        <f>PedBerIVenPM!D3</f>
        <v/>
      </c>
      <c r="C10" s="563">
        <v>2</v>
      </c>
      <c r="G10" s="662"/>
      <c r="H10" s="663" t="str">
        <f>PedBerIVenPM!C3</f>
        <v/>
      </c>
      <c r="J10" s="642"/>
      <c r="K10" s="665"/>
      <c r="L10" s="665"/>
      <c r="M10" s="657"/>
      <c r="N10" s="657"/>
    </row>
    <row r="11" spans="2:14" ht="20.100000000000001" customHeight="1" x14ac:dyDescent="0.2">
      <c r="B11" s="660" t="str">
        <f>PedBerIVenPM!D4</f>
        <v/>
      </c>
      <c r="C11" s="563">
        <v>3</v>
      </c>
      <c r="G11" s="662"/>
      <c r="H11" s="663" t="str">
        <f>PedBerIVenPM!C4</f>
        <v/>
      </c>
      <c r="J11" s="642"/>
      <c r="M11" s="657"/>
      <c r="N11" s="657"/>
    </row>
    <row r="12" spans="2:14" ht="20.100000000000001" customHeight="1" x14ac:dyDescent="0.2">
      <c r="B12" s="660" t="str">
        <f>PedBerIVenPM!D5</f>
        <v/>
      </c>
      <c r="C12" s="563">
        <v>4</v>
      </c>
      <c r="G12" s="662"/>
      <c r="H12" s="663" t="str">
        <f>PedBerIVenPM!C5</f>
        <v/>
      </c>
      <c r="J12" s="642"/>
      <c r="M12" s="657"/>
      <c r="N12" s="657"/>
    </row>
    <row r="13" spans="2:14" ht="20.100000000000001" customHeight="1" x14ac:dyDescent="0.2">
      <c r="B13" s="660" t="str">
        <f>PedBerIVenPM!D6</f>
        <v/>
      </c>
      <c r="C13" s="563">
        <v>5</v>
      </c>
      <c r="G13" s="662"/>
      <c r="H13" s="663" t="str">
        <f>PedBerIVenPM!C6</f>
        <v/>
      </c>
      <c r="J13" s="642"/>
      <c r="M13" s="657"/>
      <c r="N13" s="657"/>
    </row>
    <row r="14" spans="2:14" ht="20.100000000000001" customHeight="1" x14ac:dyDescent="0.2">
      <c r="B14" s="660" t="str">
        <f>PedBerIVenPM!D7</f>
        <v/>
      </c>
      <c r="C14" s="563">
        <v>6</v>
      </c>
      <c r="D14" s="642"/>
      <c r="E14" s="642"/>
      <c r="F14" s="642"/>
      <c r="G14" s="642"/>
      <c r="H14" s="642" t="str">
        <f>PedBerIVenPM!C7</f>
        <v/>
      </c>
      <c r="J14" s="642"/>
      <c r="M14" s="657"/>
      <c r="N14" s="657"/>
    </row>
    <row r="15" spans="2:14" ht="17.25" customHeight="1" x14ac:dyDescent="0.2">
      <c r="B15" s="658"/>
      <c r="J15" s="642"/>
      <c r="M15" s="657"/>
      <c r="N15" s="657"/>
    </row>
    <row r="16" spans="2:14" ht="20.100000000000001" customHeight="1" x14ac:dyDescent="0.2">
      <c r="B16" s="660" t="str">
        <f>PedBerIVenPM!D9</f>
        <v/>
      </c>
      <c r="C16" s="563"/>
      <c r="D16" s="593" t="s">
        <v>285</v>
      </c>
      <c r="E16" s="872">
        <f>_Ped_IVLijn_Opm</f>
        <v>0</v>
      </c>
      <c r="F16" s="873"/>
      <c r="G16" s="873"/>
      <c r="H16" s="873"/>
      <c r="I16" s="666"/>
      <c r="J16" s="667"/>
      <c r="M16" s="657"/>
      <c r="N16" s="657"/>
    </row>
    <row r="17" spans="2:14" ht="17.25" customHeight="1" x14ac:dyDescent="0.2">
      <c r="B17" s="658"/>
      <c r="D17" s="662"/>
      <c r="E17" s="662"/>
      <c r="F17" s="662"/>
      <c r="G17" s="662"/>
      <c r="H17" s="662"/>
      <c r="I17" s="662"/>
      <c r="J17" s="659"/>
      <c r="M17" s="657"/>
      <c r="N17" s="657"/>
    </row>
    <row r="18" spans="2:14" ht="20.100000000000001" customHeight="1" x14ac:dyDescent="0.2">
      <c r="B18" s="658"/>
      <c r="D18" s="629"/>
      <c r="E18" s="665"/>
      <c r="F18" s="665"/>
      <c r="G18" s="665"/>
      <c r="H18" s="665"/>
      <c r="I18" s="665"/>
      <c r="J18" s="664"/>
    </row>
    <row r="19" spans="2:14" ht="20.100000000000001" customHeight="1" x14ac:dyDescent="0.2">
      <c r="B19" s="811" t="str">
        <f>PedBerIVenPM!M2</f>
        <v/>
      </c>
      <c r="C19" s="565"/>
      <c r="D19" s="565" t="s">
        <v>20</v>
      </c>
      <c r="E19" s="812"/>
      <c r="F19" s="565"/>
      <c r="G19" s="565"/>
      <c r="H19" s="565"/>
      <c r="I19" s="565"/>
      <c r="J19" s="813"/>
      <c r="K19" s="565"/>
    </row>
    <row r="20" spans="2:14" ht="8.1" customHeight="1" x14ac:dyDescent="0.2">
      <c r="B20" s="668"/>
    </row>
    <row r="21" spans="2:14" ht="20.100000000000001" customHeight="1" x14ac:dyDescent="0.2">
      <c r="B21" s="668"/>
      <c r="D21" s="563" t="s">
        <v>259</v>
      </c>
      <c r="G21" s="563" t="s">
        <v>59</v>
      </c>
    </row>
    <row r="22" spans="2:14" ht="8.1" customHeight="1" x14ac:dyDescent="0.2">
      <c r="B22" s="668"/>
    </row>
    <row r="23" spans="2:14" ht="20.100000000000001" customHeight="1" x14ac:dyDescent="0.2">
      <c r="B23" s="660" t="str">
        <f>PedBerIVenPM!M3</f>
        <v/>
      </c>
      <c r="D23" s="563" t="s">
        <v>288</v>
      </c>
      <c r="E23" s="739" t="str">
        <f>IF(PedBerIVenPM!H1&gt;1,PedBerIVenPM!K1&amp;" /min","")</f>
        <v>30 /min</v>
      </c>
    </row>
    <row r="24" spans="2:14" ht="8.1" customHeight="1" x14ac:dyDescent="0.2">
      <c r="B24" s="670"/>
      <c r="D24" s="668"/>
      <c r="E24" s="669"/>
    </row>
    <row r="25" spans="2:14" ht="20.100000000000001" customHeight="1" x14ac:dyDescent="0.2">
      <c r="B25" s="670"/>
      <c r="D25" s="563" t="s">
        <v>60</v>
      </c>
      <c r="E25" s="740" t="str">
        <f>IF(PedBerIVenPM!H1&gt;1,(PedBerIVenPM!K2/10)&amp;" V","")</f>
        <v>0.1 V</v>
      </c>
    </row>
    <row r="26" spans="2:14" ht="20.100000000000001" customHeight="1" thickBot="1" x14ac:dyDescent="0.25">
      <c r="B26" s="670"/>
      <c r="D26" s="563" t="s">
        <v>4125</v>
      </c>
      <c r="E26" s="741" t="str">
        <f>IF(PedBerIVenPM!H1&gt;1,(PedBerIVenPM!K3/10)&amp;" V","")</f>
        <v>0.1 V</v>
      </c>
    </row>
    <row r="27" spans="2:14" ht="8.1" customHeight="1" thickTop="1" thickBot="1" x14ac:dyDescent="0.25">
      <c r="B27" s="670"/>
      <c r="D27" s="668"/>
      <c r="E27" s="671"/>
    </row>
    <row r="28" spans="2:14" ht="20.100000000000001" customHeight="1" thickTop="1" thickBot="1" x14ac:dyDescent="0.25">
      <c r="B28" s="670"/>
      <c r="D28" s="563" t="s">
        <v>61</v>
      </c>
      <c r="E28" s="738" t="str">
        <f>IF(PedBerIVenPM!H1&gt;1,PedBerIVenPM!K4&amp;" msec","")</f>
        <v>20 msec</v>
      </c>
    </row>
    <row r="29" spans="2:14" ht="8.1" customHeight="1" thickTop="1" thickBot="1" x14ac:dyDescent="0.25">
      <c r="B29" s="670"/>
      <c r="D29" s="668"/>
      <c r="E29" s="671"/>
    </row>
    <row r="30" spans="2:14" ht="20.100000000000001" customHeight="1" thickTop="1" x14ac:dyDescent="0.2">
      <c r="B30" s="670"/>
      <c r="D30" s="563" t="s">
        <v>62</v>
      </c>
      <c r="E30" s="742" t="str">
        <f>IF(PedBerIVenPM!H1&gt;1,PedBerIVenPM!K5/10&amp;" mV","")</f>
        <v>0.2 mV</v>
      </c>
    </row>
    <row r="31" spans="2:14" ht="20.100000000000001" customHeight="1" thickBot="1" x14ac:dyDescent="0.25">
      <c r="B31" s="670"/>
      <c r="D31" s="563" t="s">
        <v>4126</v>
      </c>
      <c r="E31" s="741" t="str">
        <f>IF(PedBerIVenPM!H1&gt;1,(PedBerIVenPM!K6/10)&amp;" mV","")</f>
        <v>1 mV</v>
      </c>
    </row>
    <row r="32" spans="2:14" ht="17.25" customHeight="1" thickTop="1" x14ac:dyDescent="0.2"/>
  </sheetData>
  <sheetProtection password="CC20" sheet="1" objects="1" scenario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8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E2" sqref="E2"/>
    </sheetView>
  </sheetViews>
  <sheetFormatPr defaultRowHeight="12.75" x14ac:dyDescent="0.2"/>
  <cols>
    <col min="1" max="2" width="15.42578125" customWidth="1"/>
    <col min="3" max="6" width="15.42578125" style="311" customWidth="1"/>
  </cols>
  <sheetData>
    <row r="1" spans="1:13" x14ac:dyDescent="0.2">
      <c r="A1" s="1" t="s">
        <v>955</v>
      </c>
      <c r="B1" s="1" t="s">
        <v>956</v>
      </c>
      <c r="C1" s="1" t="s">
        <v>182</v>
      </c>
      <c r="D1" s="1" t="s">
        <v>4115</v>
      </c>
      <c r="E1" s="1" t="s">
        <v>120</v>
      </c>
      <c r="F1" s="1" t="s">
        <v>330</v>
      </c>
      <c r="H1" s="1" t="s">
        <v>258</v>
      </c>
      <c r="I1" s="1" t="s">
        <v>63</v>
      </c>
      <c r="J1" s="1" t="s">
        <v>203</v>
      </c>
      <c r="K1">
        <v>30</v>
      </c>
      <c r="L1">
        <v>70</v>
      </c>
      <c r="M1" s="1" t="s">
        <v>4115</v>
      </c>
    </row>
    <row r="2" spans="1:13" x14ac:dyDescent="0.2">
      <c r="A2" s="6">
        <v>1</v>
      </c>
      <c r="B2" s="6">
        <v>1</v>
      </c>
      <c r="C2" s="6" t="str">
        <f t="shared" ref="C2:C7" si="0">IF(INDEX(tblInfusenBer,B2,2)=0,"",INDEX(tblInfusenBer,B2,2)&amp;" ml")</f>
        <v/>
      </c>
      <c r="D2" s="6" t="str">
        <f>IF(B2&gt;1,"verw","")</f>
        <v/>
      </c>
      <c r="E2" s="6">
        <f>IF(INDEX(tblInfusenBer,B2,2)&lt;&gt;0,INDEX(tblInfusenBer,B2,3),0)</f>
        <v>0</v>
      </c>
      <c r="F2" s="6">
        <f t="shared" ref="F2:F7" si="1">IF(INDEX(tblInfusenBer,B2,2)&lt;&gt;0,INDEX(tblInfusenBer,B2,2),0)</f>
        <v>0</v>
      </c>
      <c r="H2">
        <v>1</v>
      </c>
      <c r="I2">
        <v>1</v>
      </c>
      <c r="J2" s="1" t="s">
        <v>254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6">
        <v>2</v>
      </c>
      <c r="B3" s="6">
        <v>1</v>
      </c>
      <c r="C3" s="6" t="str">
        <f t="shared" si="0"/>
        <v/>
      </c>
      <c r="D3" s="6" t="str">
        <f t="shared" ref="D3:D7" si="2">IF(B3&gt;1,"verw","")</f>
        <v/>
      </c>
      <c r="E3" s="6">
        <f>IF(INDEX(tblInfusenBer,B3,2)&lt;&gt;0,INDEX(tblInfusenBer,B3,3),0)</f>
        <v>0</v>
      </c>
      <c r="F3" s="6">
        <f t="shared" si="1"/>
        <v>0</v>
      </c>
      <c r="J3" s="1" t="s">
        <v>255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6">
        <v>3</v>
      </c>
      <c r="B4" s="6">
        <v>1</v>
      </c>
      <c r="C4" s="6" t="str">
        <f t="shared" si="0"/>
        <v/>
      </c>
      <c r="D4" s="6" t="str">
        <f t="shared" si="2"/>
        <v/>
      </c>
      <c r="E4" s="6">
        <f>IF(INDEX(tblInfusenBer,B4,2)&lt;&gt;0,INDEX(tblInfusenBer,B4,3),0)</f>
        <v>0</v>
      </c>
      <c r="F4" s="6">
        <f t="shared" si="1"/>
        <v>0</v>
      </c>
      <c r="J4" s="1" t="s">
        <v>256</v>
      </c>
      <c r="K4">
        <v>20</v>
      </c>
      <c r="L4">
        <v>170</v>
      </c>
    </row>
    <row r="5" spans="1:13" x14ac:dyDescent="0.2">
      <c r="A5" s="6">
        <v>4</v>
      </c>
      <c r="B5" s="6">
        <v>1</v>
      </c>
      <c r="C5" s="6" t="str">
        <f t="shared" si="0"/>
        <v/>
      </c>
      <c r="D5" s="6" t="str">
        <f t="shared" si="2"/>
        <v/>
      </c>
      <c r="E5" s="6">
        <f>IF(INDEX(tblInfusenBer,B5,2)&lt;&gt;0,INDEX(tblInfusenBer,B5,3),0)</f>
        <v>0</v>
      </c>
      <c r="F5" s="6">
        <f t="shared" si="1"/>
        <v>0</v>
      </c>
      <c r="G5" s="383"/>
      <c r="J5" s="1" t="s">
        <v>257</v>
      </c>
      <c r="K5">
        <v>2</v>
      </c>
      <c r="L5">
        <v>20</v>
      </c>
    </row>
    <row r="6" spans="1:13" x14ac:dyDescent="0.2">
      <c r="A6" s="6">
        <v>5</v>
      </c>
      <c r="B6" s="6">
        <v>1</v>
      </c>
      <c r="C6" s="6" t="str">
        <f t="shared" si="0"/>
        <v/>
      </c>
      <c r="D6" s="6" t="str">
        <f t="shared" si="2"/>
        <v/>
      </c>
      <c r="E6" s="6">
        <f>IF(INDEX(tblInfusenBer,B6,2)&lt;&gt;0,INDEX(tblInfusenBer,B6,3),0)</f>
        <v>0</v>
      </c>
      <c r="F6" s="6">
        <f t="shared" si="1"/>
        <v>0</v>
      </c>
      <c r="G6" s="383"/>
      <c r="J6" s="1" t="s">
        <v>291</v>
      </c>
      <c r="K6">
        <v>10</v>
      </c>
      <c r="L6">
        <v>20</v>
      </c>
    </row>
    <row r="7" spans="1:13" x14ac:dyDescent="0.2">
      <c r="A7" s="6">
        <v>6</v>
      </c>
      <c r="B7" s="6">
        <v>1</v>
      </c>
      <c r="C7" s="6" t="str">
        <f t="shared" si="0"/>
        <v/>
      </c>
      <c r="D7" s="6" t="str">
        <f t="shared" si="2"/>
        <v/>
      </c>
      <c r="E7" s="6">
        <f>IF(INDEX(tblInfusenBer,B7,2)&lt;&gt;0,INDEX(tblInfusenBer,B7,3),0)</f>
        <v>0</v>
      </c>
      <c r="F7" s="6">
        <f t="shared" si="1"/>
        <v>0</v>
      </c>
      <c r="G7" s="383"/>
    </row>
    <row r="8" spans="1:13" x14ac:dyDescent="0.2">
      <c r="A8" s="383"/>
      <c r="B8" s="383"/>
      <c r="C8" s="383"/>
      <c r="D8" s="383"/>
      <c r="E8" s="383"/>
      <c r="F8" s="383"/>
      <c r="G8" s="383"/>
    </row>
    <row r="9" spans="1:13" x14ac:dyDescent="0.2">
      <c r="A9" s="383" t="s">
        <v>237</v>
      </c>
      <c r="B9" s="383"/>
      <c r="C9" s="383"/>
      <c r="D9" s="383" t="str">
        <f>IF(_Ped_IVLijn_Opm="","","verw")</f>
        <v/>
      </c>
      <c r="E9" s="383">
        <f>SUM(E2:E8)</f>
        <v>0</v>
      </c>
      <c r="F9" s="383">
        <f>SUM(F2:F8)</f>
        <v>0</v>
      </c>
      <c r="G9" s="383"/>
    </row>
    <row r="10" spans="1:13" x14ac:dyDescent="0.2">
      <c r="A10" s="383"/>
      <c r="B10" s="383"/>
      <c r="C10" s="383"/>
      <c r="D10" s="383"/>
      <c r="E10" s="383"/>
      <c r="F10" s="383"/>
      <c r="G10" s="383"/>
    </row>
    <row r="11" spans="1:13" x14ac:dyDescent="0.2">
      <c r="A11" s="383"/>
      <c r="B11" s="383"/>
      <c r="C11" s="383"/>
      <c r="D11" s="383"/>
      <c r="E11" s="383"/>
      <c r="F11" s="383"/>
      <c r="G11" s="383"/>
    </row>
    <row r="12" spans="1:13" x14ac:dyDescent="0.2">
      <c r="A12" s="383"/>
      <c r="B12" s="383"/>
      <c r="C12" s="383"/>
      <c r="D12" s="383"/>
      <c r="E12" s="383"/>
      <c r="F12" s="383"/>
      <c r="G12" s="383"/>
    </row>
    <row r="13" spans="1:13" x14ac:dyDescent="0.2">
      <c r="A13" s="383"/>
      <c r="B13" s="383"/>
      <c r="C13" s="383"/>
      <c r="D13" s="383"/>
      <c r="E13" s="383"/>
      <c r="F13" s="383"/>
      <c r="G13" s="383"/>
    </row>
    <row r="14" spans="1:13" x14ac:dyDescent="0.2">
      <c r="A14" s="383"/>
      <c r="B14" s="383"/>
      <c r="C14" s="383"/>
      <c r="D14" s="383"/>
      <c r="E14" s="383"/>
      <c r="F14" s="383"/>
      <c r="G14" s="383"/>
    </row>
    <row r="15" spans="1:13" x14ac:dyDescent="0.2">
      <c r="A15" s="383"/>
      <c r="B15" s="383"/>
      <c r="C15" s="383"/>
      <c r="D15" s="383"/>
      <c r="E15" s="383"/>
      <c r="F15" s="383"/>
      <c r="G15" s="383"/>
    </row>
    <row r="16" spans="1:13" x14ac:dyDescent="0.2">
      <c r="A16" s="383"/>
      <c r="B16" s="383"/>
      <c r="C16" s="383"/>
      <c r="D16" s="383"/>
      <c r="E16" s="383"/>
      <c r="F16" s="383"/>
      <c r="G16" s="383"/>
    </row>
    <row r="17" spans="1:7" x14ac:dyDescent="0.2">
      <c r="A17" s="383"/>
      <c r="B17" s="383"/>
      <c r="C17" s="383"/>
      <c r="D17" s="383"/>
      <c r="E17" s="383"/>
      <c r="F17" s="383"/>
      <c r="G17" s="383"/>
    </row>
    <row r="18" spans="1:7" x14ac:dyDescent="0.2">
      <c r="A18" s="383"/>
      <c r="B18" s="383"/>
      <c r="C18" s="383"/>
      <c r="D18" s="383"/>
      <c r="E18" s="383"/>
      <c r="F18" s="383"/>
      <c r="G18" s="383"/>
    </row>
    <row r="19" spans="1:7" x14ac:dyDescent="0.2">
      <c r="A19" s="383"/>
      <c r="B19" s="383"/>
      <c r="C19" s="383"/>
      <c r="D19" s="383"/>
      <c r="E19" s="383"/>
      <c r="F19" s="383"/>
      <c r="G19" s="383"/>
    </row>
    <row r="20" spans="1:7" x14ac:dyDescent="0.2">
      <c r="A20" s="383"/>
      <c r="B20" s="383"/>
      <c r="C20" s="383"/>
      <c r="D20" s="383"/>
      <c r="E20" s="383"/>
      <c r="F20" s="383"/>
      <c r="G20" s="383"/>
    </row>
    <row r="21" spans="1:7" x14ac:dyDescent="0.2">
      <c r="A21" s="383"/>
      <c r="B21" s="383"/>
      <c r="C21" s="383"/>
      <c r="D21" s="383"/>
      <c r="E21" s="383"/>
      <c r="F21" s="383"/>
      <c r="G21" s="383"/>
    </row>
    <row r="22" spans="1:7" x14ac:dyDescent="0.2">
      <c r="A22" s="383"/>
      <c r="B22" s="383"/>
      <c r="C22" s="383"/>
      <c r="D22" s="383"/>
      <c r="E22" s="383"/>
      <c r="F22" s="383"/>
      <c r="G22" s="383"/>
    </row>
    <row r="23" spans="1:7" x14ac:dyDescent="0.2">
      <c r="A23" s="383"/>
      <c r="B23" s="383"/>
      <c r="C23" s="383"/>
      <c r="D23" s="383"/>
      <c r="E23" s="383"/>
      <c r="F23" s="383"/>
      <c r="G23" s="383"/>
    </row>
    <row r="24" spans="1:7" x14ac:dyDescent="0.2">
      <c r="A24" s="383"/>
      <c r="B24" s="383"/>
      <c r="C24" s="383"/>
      <c r="D24" s="383"/>
      <c r="E24" s="383"/>
      <c r="F24" s="383"/>
      <c r="G24" s="383"/>
    </row>
    <row r="25" spans="1:7" x14ac:dyDescent="0.2">
      <c r="A25" s="383"/>
      <c r="B25" s="383"/>
      <c r="C25" s="383"/>
      <c r="D25" s="383"/>
      <c r="E25" s="383"/>
      <c r="F25" s="383"/>
      <c r="G25" s="383"/>
    </row>
    <row r="26" spans="1:7" x14ac:dyDescent="0.2">
      <c r="A26" s="383"/>
      <c r="B26" s="383"/>
      <c r="C26" s="383"/>
      <c r="D26" s="383"/>
      <c r="E26" s="383"/>
      <c r="F26" s="383"/>
      <c r="G26" s="383"/>
    </row>
    <row r="27" spans="1:7" x14ac:dyDescent="0.2">
      <c r="A27" s="383"/>
      <c r="B27" s="383"/>
      <c r="C27" s="383"/>
      <c r="D27" s="383"/>
      <c r="E27" s="383"/>
      <c r="F27" s="383"/>
      <c r="G27" s="383"/>
    </row>
    <row r="28" spans="1:7" x14ac:dyDescent="0.2">
      <c r="A28" s="383"/>
      <c r="B28" s="383"/>
      <c r="C28" s="383"/>
      <c r="D28" s="383"/>
      <c r="E28" s="383"/>
      <c r="F28" s="383"/>
      <c r="G28" s="383"/>
    </row>
    <row r="29" spans="1:7" x14ac:dyDescent="0.2">
      <c r="A29" s="383"/>
      <c r="B29" s="383"/>
      <c r="C29" s="383"/>
      <c r="D29" s="383"/>
      <c r="E29" s="383"/>
      <c r="F29" s="383"/>
      <c r="G29" s="383"/>
    </row>
    <row r="30" spans="1:7" x14ac:dyDescent="0.2">
      <c r="A30" s="383"/>
      <c r="B30" s="383"/>
      <c r="C30" s="383"/>
      <c r="D30" s="383"/>
      <c r="E30" s="383"/>
      <c r="F30" s="383"/>
      <c r="G30" s="383"/>
    </row>
    <row r="31" spans="1:7" x14ac:dyDescent="0.2">
      <c r="A31" s="383"/>
      <c r="B31" s="383"/>
      <c r="C31" s="383"/>
      <c r="D31" s="383"/>
      <c r="E31" s="383"/>
      <c r="F31" s="383"/>
      <c r="G31" s="383"/>
    </row>
    <row r="32" spans="1:7" x14ac:dyDescent="0.2">
      <c r="A32" s="383"/>
      <c r="B32" s="383"/>
      <c r="C32" s="383"/>
      <c r="D32" s="383"/>
      <c r="E32" s="383"/>
      <c r="F32" s="383"/>
      <c r="G32" s="383"/>
    </row>
    <row r="33" spans="1:7" x14ac:dyDescent="0.2">
      <c r="A33" s="383"/>
      <c r="B33" s="383"/>
      <c r="C33" s="383"/>
      <c r="D33" s="383"/>
      <c r="E33" s="383"/>
      <c r="F33" s="383"/>
      <c r="G33" s="383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4" sqref="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954</v>
      </c>
      <c r="B1" s="1" t="s">
        <v>468</v>
      </c>
      <c r="C1" s="1" t="s">
        <v>222</v>
      </c>
      <c r="D1" s="1" t="s">
        <v>574</v>
      </c>
      <c r="E1" s="1" t="s">
        <v>957</v>
      </c>
      <c r="F1" s="1" t="s">
        <v>958</v>
      </c>
    </row>
    <row r="2" spans="1:6" x14ac:dyDescent="0.2">
      <c r="A2" s="362"/>
      <c r="B2" s="311"/>
      <c r="C2" s="311"/>
      <c r="E2" s="311"/>
      <c r="F2" s="311"/>
    </row>
    <row r="3" spans="1:6" x14ac:dyDescent="0.2">
      <c r="A3" s="6" t="s">
        <v>152</v>
      </c>
      <c r="B3" s="311"/>
      <c r="C3" s="311"/>
      <c r="E3" s="311" t="s">
        <v>357</v>
      </c>
      <c r="F3" s="311" t="s">
        <v>251</v>
      </c>
    </row>
    <row r="4" spans="1:6" x14ac:dyDescent="0.2">
      <c r="A4" s="381" t="s">
        <v>963</v>
      </c>
      <c r="B4" s="382">
        <v>48</v>
      </c>
      <c r="C4" s="382">
        <v>7.44</v>
      </c>
      <c r="D4" s="382">
        <v>7.44</v>
      </c>
      <c r="E4" s="311" t="s">
        <v>249</v>
      </c>
      <c r="F4" s="311" t="s">
        <v>252</v>
      </c>
    </row>
    <row r="5" spans="1:6" x14ac:dyDescent="0.2">
      <c r="A5" s="381" t="s">
        <v>964</v>
      </c>
      <c r="B5" s="382">
        <v>72</v>
      </c>
      <c r="C5" s="382">
        <v>11.16</v>
      </c>
      <c r="D5" s="382">
        <v>11.16</v>
      </c>
      <c r="E5" s="311" t="s">
        <v>250</v>
      </c>
      <c r="F5" s="311" t="s">
        <v>253</v>
      </c>
    </row>
    <row r="6" spans="1:6" x14ac:dyDescent="0.2">
      <c r="A6" s="381" t="s">
        <v>928</v>
      </c>
      <c r="B6" s="383"/>
      <c r="C6" s="383"/>
    </row>
    <row r="7" spans="1:6" x14ac:dyDescent="0.2">
      <c r="A7" s="381" t="s">
        <v>965</v>
      </c>
      <c r="B7" s="382">
        <v>48</v>
      </c>
      <c r="C7" s="382">
        <v>7.44</v>
      </c>
      <c r="D7" s="382">
        <v>7.44</v>
      </c>
    </row>
    <row r="8" spans="1:6" x14ac:dyDescent="0.2">
      <c r="A8" s="381" t="s">
        <v>966</v>
      </c>
      <c r="B8" s="382">
        <v>72</v>
      </c>
      <c r="C8" s="382">
        <v>11.16</v>
      </c>
      <c r="D8" s="382">
        <v>11.16</v>
      </c>
    </row>
    <row r="9" spans="1:6" x14ac:dyDescent="0.2">
      <c r="A9" s="381" t="s">
        <v>81</v>
      </c>
      <c r="B9" s="383"/>
      <c r="C9" s="383"/>
    </row>
    <row r="10" spans="1:6" x14ac:dyDescent="0.2">
      <c r="A10" s="381" t="s">
        <v>395</v>
      </c>
      <c r="B10" s="383"/>
      <c r="C10" s="383"/>
    </row>
    <row r="11" spans="1:6" x14ac:dyDescent="0.2">
      <c r="A11" s="381" t="s">
        <v>396</v>
      </c>
      <c r="B11" s="383"/>
      <c r="C11" s="383"/>
    </row>
    <row r="12" spans="1:6" x14ac:dyDescent="0.2">
      <c r="A12" s="381" t="s">
        <v>335</v>
      </c>
      <c r="B12" s="383"/>
      <c r="C12" s="383"/>
    </row>
    <row r="13" spans="1:6" x14ac:dyDescent="0.2">
      <c r="A13" s="381" t="s">
        <v>336</v>
      </c>
      <c r="B13" s="383"/>
      <c r="C13" s="383"/>
    </row>
    <row r="14" spans="1:6" x14ac:dyDescent="0.2">
      <c r="A14" s="381" t="s">
        <v>119</v>
      </c>
      <c r="B14" s="383"/>
      <c r="C14" s="383"/>
    </row>
    <row r="15" spans="1:6" x14ac:dyDescent="0.2">
      <c r="A15" s="381" t="s">
        <v>967</v>
      </c>
      <c r="B15" s="382">
        <v>48</v>
      </c>
      <c r="C15" s="382">
        <v>7.44</v>
      </c>
      <c r="D15" s="382">
        <v>7.44</v>
      </c>
    </row>
    <row r="16" spans="1:6" x14ac:dyDescent="0.2">
      <c r="A16" s="381" t="s">
        <v>968</v>
      </c>
      <c r="B16" s="382">
        <v>72</v>
      </c>
      <c r="C16" s="382">
        <v>11.16</v>
      </c>
      <c r="D16" s="382">
        <v>11.16</v>
      </c>
    </row>
    <row r="17" spans="1:1" x14ac:dyDescent="0.2">
      <c r="A17" s="381" t="s">
        <v>181</v>
      </c>
    </row>
    <row r="18" spans="1:1" x14ac:dyDescent="0.2">
      <c r="A18" s="381" t="s">
        <v>395</v>
      </c>
    </row>
    <row r="19" spans="1:1" x14ac:dyDescent="0.2">
      <c r="A19" s="381" t="s">
        <v>396</v>
      </c>
    </row>
    <row r="20" spans="1:1" x14ac:dyDescent="0.2">
      <c r="A20" s="381" t="s">
        <v>337</v>
      </c>
    </row>
    <row r="21" spans="1:1" x14ac:dyDescent="0.2">
      <c r="A21" s="381" t="s">
        <v>312</v>
      </c>
    </row>
    <row r="22" spans="1:1" x14ac:dyDescent="0.2">
      <c r="A22" s="381" t="s">
        <v>151</v>
      </c>
    </row>
    <row r="23" spans="1:1" x14ac:dyDescent="0.2">
      <c r="A23" s="381" t="s">
        <v>313</v>
      </c>
    </row>
    <row r="24" spans="1:1" x14ac:dyDescent="0.2">
      <c r="A24" s="381" t="s">
        <v>299</v>
      </c>
    </row>
    <row r="25" spans="1:1" x14ac:dyDescent="0.2">
      <c r="A25" s="381" t="s">
        <v>969</v>
      </c>
    </row>
    <row r="26" spans="1:1" x14ac:dyDescent="0.2">
      <c r="A26" s="381" t="s">
        <v>376</v>
      </c>
    </row>
    <row r="27" spans="1:1" x14ac:dyDescent="0.2">
      <c r="A27" s="381" t="s">
        <v>374</v>
      </c>
    </row>
    <row r="28" spans="1:1" x14ac:dyDescent="0.2">
      <c r="A28" s="381" t="s">
        <v>375</v>
      </c>
    </row>
    <row r="29" spans="1:1" x14ac:dyDescent="0.2">
      <c r="A29" s="381" t="s">
        <v>970</v>
      </c>
    </row>
    <row r="30" spans="1:1" x14ac:dyDescent="0.2">
      <c r="A30" s="381" t="s">
        <v>971</v>
      </c>
    </row>
    <row r="31" spans="1:1" x14ac:dyDescent="0.2">
      <c r="A31" s="381" t="s">
        <v>417</v>
      </c>
    </row>
    <row r="32" spans="1:1" x14ac:dyDescent="0.2">
      <c r="A32" s="381" t="s">
        <v>418</v>
      </c>
    </row>
    <row r="33" spans="1:4" x14ac:dyDescent="0.2">
      <c r="A33" s="381" t="s">
        <v>999</v>
      </c>
      <c r="B33" s="382"/>
      <c r="C33" s="382"/>
    </row>
    <row r="34" spans="1:4" x14ac:dyDescent="0.2">
      <c r="A34" s="381" t="s">
        <v>993</v>
      </c>
      <c r="B34" s="382">
        <v>48</v>
      </c>
      <c r="C34" s="382">
        <v>7.44</v>
      </c>
      <c r="D34" s="382">
        <v>7.44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M20" sqref="M20"/>
    </sheetView>
  </sheetViews>
  <sheetFormatPr defaultColWidth="9.140625" defaultRowHeight="12.75" x14ac:dyDescent="0.2"/>
  <cols>
    <col min="1" max="1" width="4.7109375" style="662" customWidth="1"/>
    <col min="2" max="2" width="6" style="662" customWidth="1"/>
    <col min="3" max="3" width="3.140625" style="662" customWidth="1"/>
    <col min="4" max="4" width="14.28515625" style="662" customWidth="1"/>
    <col min="5" max="5" width="14.42578125" style="662" customWidth="1"/>
    <col min="6" max="6" width="12.140625" style="662" customWidth="1"/>
    <col min="7" max="7" width="26.42578125" style="662" customWidth="1"/>
    <col min="8" max="8" width="13.85546875" style="662" customWidth="1"/>
    <col min="9" max="9" width="15.28515625" style="662" customWidth="1"/>
    <col min="10" max="10" width="15.140625" style="662" customWidth="1"/>
    <col min="11" max="11" width="9.140625" style="662"/>
    <col min="12" max="12" width="10" style="662" customWidth="1"/>
    <col min="13" max="13" width="9.140625" style="662"/>
    <col min="14" max="14" width="10.42578125" style="662" customWidth="1"/>
    <col min="15" max="16" width="9.140625" style="662"/>
    <col min="17" max="17" width="10.7109375" style="662" bestFit="1" customWidth="1"/>
    <col min="18" max="19" width="9.140625" style="662"/>
    <col min="20" max="20" width="10.7109375" style="662" bestFit="1" customWidth="1"/>
    <col min="21" max="16384" width="9.140625" style="662"/>
  </cols>
  <sheetData>
    <row r="1" spans="2:23" s="645" customFormat="1" ht="17.25" customHeight="1" x14ac:dyDescent="0.2">
      <c r="B1" s="795"/>
      <c r="C1" s="631"/>
      <c r="D1" s="631"/>
      <c r="E1" s="631"/>
      <c r="F1" s="631"/>
      <c r="G1" s="631"/>
      <c r="H1" s="631"/>
      <c r="I1" s="631"/>
      <c r="J1" s="631"/>
      <c r="K1" s="631"/>
      <c r="L1" s="631"/>
    </row>
    <row r="2" spans="2:23" s="645" customFormat="1" ht="17.25" customHeight="1" x14ac:dyDescent="0.2">
      <c r="B2" s="631"/>
      <c r="C2" s="596"/>
      <c r="D2" s="631" t="s">
        <v>297</v>
      </c>
      <c r="E2" s="597">
        <f ca="1">Var_AfspraakDatum</f>
        <v>42751</v>
      </c>
      <c r="F2" s="598"/>
      <c r="G2" s="596" t="s">
        <v>4319</v>
      </c>
      <c r="H2" s="600" t="str">
        <f>PatDetails!B15</f>
        <v/>
      </c>
      <c r="I2" s="596" t="str">
        <f>PatDetails!B23</f>
        <v>Gewicht:</v>
      </c>
      <c r="J2" s="631"/>
      <c r="K2" s="631" t="s">
        <v>490</v>
      </c>
      <c r="L2" s="596">
        <f>__1_Bed</f>
        <v>0</v>
      </c>
    </row>
    <row r="3" spans="2:23" s="645" customFormat="1" ht="17.25" customHeight="1" x14ac:dyDescent="0.2">
      <c r="B3" s="631"/>
      <c r="C3" s="596"/>
      <c r="D3" s="631" t="s">
        <v>28</v>
      </c>
      <c r="E3" s="601" t="str">
        <f>PatDetails!B21</f>
        <v/>
      </c>
      <c r="F3" s="601"/>
      <c r="G3" s="596" t="s">
        <v>4320</v>
      </c>
      <c r="H3" s="600" t="str">
        <f ca="1">PatDetails!B16</f>
        <v/>
      </c>
      <c r="I3" s="596" t="str">
        <f>PatDetails!B24</f>
        <v>Lengte:</v>
      </c>
      <c r="J3" s="631"/>
      <c r="K3" s="877"/>
      <c r="L3" s="877"/>
      <c r="N3" s="672"/>
    </row>
    <row r="4" spans="2:23" s="645" customFormat="1" ht="17.25" customHeight="1" x14ac:dyDescent="0.2">
      <c r="B4" s="631"/>
      <c r="C4" s="596"/>
      <c r="D4" s="796" t="s">
        <v>4314</v>
      </c>
      <c r="E4" s="596" t="str">
        <f>PatDetails!B17</f>
        <v/>
      </c>
      <c r="F4" s="598"/>
      <c r="G4" s="596" t="s">
        <v>268</v>
      </c>
      <c r="H4" s="605" t="str">
        <f ca="1">PatDetails!B20</f>
        <v/>
      </c>
      <c r="I4" s="596" t="str">
        <f>PatDetails!B25</f>
        <v>Lichamelijk oppervlak:</v>
      </c>
      <c r="J4" s="631"/>
      <c r="K4" s="877"/>
      <c r="L4" s="877"/>
    </row>
    <row r="5" spans="2:23" s="645" customFormat="1" ht="8.1" customHeight="1" x14ac:dyDescent="0.2">
      <c r="B5" s="631"/>
      <c r="C5" s="596"/>
      <c r="D5" s="631"/>
      <c r="E5" s="631"/>
      <c r="F5" s="598"/>
      <c r="G5" s="596"/>
      <c r="H5" s="605"/>
      <c r="I5" s="596"/>
      <c r="J5" s="631"/>
      <c r="K5" s="877"/>
      <c r="L5" s="877"/>
    </row>
    <row r="6" spans="2:23" s="645" customFormat="1" ht="8.1" customHeight="1" x14ac:dyDescent="0.2">
      <c r="C6" s="643"/>
      <c r="E6" s="643"/>
      <c r="F6" s="644"/>
      <c r="G6" s="643"/>
      <c r="H6" s="655"/>
      <c r="I6" s="643"/>
    </row>
    <row r="7" spans="2:23" s="645" customFormat="1" ht="20.100000000000001" customHeight="1" x14ac:dyDescent="0.2">
      <c r="B7" s="632" t="s">
        <v>4115</v>
      </c>
      <c r="C7" s="814"/>
      <c r="D7" s="632" t="s">
        <v>4315</v>
      </c>
      <c r="E7" s="814"/>
      <c r="F7" s="815"/>
      <c r="G7" s="814"/>
      <c r="H7" s="816"/>
      <c r="I7" s="814"/>
      <c r="J7" s="632"/>
      <c r="K7" s="632"/>
      <c r="L7" s="632"/>
    </row>
    <row r="8" spans="2:23" ht="8.1" customHeight="1" x14ac:dyDescent="0.2">
      <c r="B8" s="673"/>
      <c r="D8" s="674"/>
      <c r="E8" s="616"/>
      <c r="F8" s="617"/>
      <c r="G8" s="615"/>
      <c r="H8" s="618"/>
      <c r="I8" s="615"/>
      <c r="J8" s="615"/>
      <c r="K8" s="615"/>
      <c r="L8" s="615"/>
    </row>
    <row r="9" spans="2:23" ht="20.100000000000001" customHeight="1" x14ac:dyDescent="0.2">
      <c r="B9" s="675" t="str">
        <f>PedBerEnt!I3</f>
        <v/>
      </c>
      <c r="C9" s="593"/>
      <c r="D9" s="593" t="s">
        <v>154</v>
      </c>
      <c r="G9" s="593"/>
      <c r="H9" s="673"/>
      <c r="I9" s="673"/>
      <c r="J9" s="593" t="s">
        <v>4316</v>
      </c>
      <c r="K9" s="593"/>
      <c r="L9" s="593"/>
      <c r="O9" s="676"/>
    </row>
    <row r="10" spans="2:23" ht="20.100000000000001" customHeight="1" x14ac:dyDescent="0.2">
      <c r="B10" s="675"/>
      <c r="D10" s="673"/>
      <c r="H10" s="673"/>
      <c r="I10" s="673"/>
      <c r="J10" s="780" t="str">
        <f>PedBerEnt!A10</f>
        <v>energy</v>
      </c>
      <c r="K10" s="746">
        <f>PedBerEnt!B10</f>
        <v>0</v>
      </c>
      <c r="L10" s="673" t="s">
        <v>5039</v>
      </c>
      <c r="M10" s="677"/>
      <c r="O10" s="676"/>
    </row>
    <row r="11" spans="2:23" ht="20.100000000000001" customHeight="1" x14ac:dyDescent="0.2">
      <c r="B11" s="675"/>
      <c r="C11" s="593"/>
      <c r="D11" s="779" t="s">
        <v>277</v>
      </c>
      <c r="E11" s="593"/>
      <c r="F11" s="593"/>
      <c r="G11" s="593"/>
      <c r="H11" s="673"/>
      <c r="I11" s="673"/>
      <c r="J11" s="780" t="str">
        <f>PedBerEnt!A11</f>
        <v>eiwit</v>
      </c>
      <c r="K11" s="747">
        <f>PedBerEnt!B11</f>
        <v>0</v>
      </c>
      <c r="L11" s="678" t="s">
        <v>31</v>
      </c>
    </row>
    <row r="12" spans="2:23" ht="20.100000000000001" customHeight="1" x14ac:dyDescent="0.2">
      <c r="B12" s="675" t="str">
        <f>PedBerEnt!H3</f>
        <v/>
      </c>
      <c r="C12" s="593"/>
      <c r="D12" s="750" t="str">
        <f>PedBerEnt!J3</f>
        <v/>
      </c>
      <c r="E12" s="751" t="str">
        <f>IF(PedBerEnt!E3&lt;&gt;0,PedBerEnt!D3&amp;" ml","")</f>
        <v/>
      </c>
      <c r="H12" s="679" t="str">
        <f>PedBerEnt!L3</f>
        <v/>
      </c>
      <c r="I12" s="673"/>
      <c r="J12" s="780" t="str">
        <f>PedBerEnt!A12</f>
        <v>KH</v>
      </c>
      <c r="K12" s="747">
        <f>PedBerEnt!B12</f>
        <v>0</v>
      </c>
      <c r="L12" s="678" t="s">
        <v>31</v>
      </c>
      <c r="Q12" s="680"/>
      <c r="R12" s="680"/>
      <c r="S12" s="680"/>
      <c r="T12" s="680"/>
      <c r="U12" s="680"/>
      <c r="V12" s="680"/>
      <c r="W12" s="680"/>
    </row>
    <row r="13" spans="2:23" ht="20.100000000000001" customHeight="1" x14ac:dyDescent="0.2">
      <c r="B13" s="675"/>
      <c r="C13" s="593"/>
      <c r="D13" s="593" t="s">
        <v>922</v>
      </c>
      <c r="E13" s="778"/>
      <c r="F13" s="593"/>
      <c r="G13" s="593"/>
      <c r="H13" s="679"/>
      <c r="I13" s="673"/>
      <c r="J13" s="781" t="str">
        <f>PedBerEnt!A13</f>
        <v>vet</v>
      </c>
      <c r="K13" s="747">
        <f>PedBerEnt!B13</f>
        <v>0</v>
      </c>
      <c r="L13" s="678" t="s">
        <v>31</v>
      </c>
      <c r="Q13" s="680"/>
      <c r="R13" s="680"/>
      <c r="S13" s="680"/>
      <c r="T13" s="680"/>
      <c r="U13" s="680"/>
      <c r="V13" s="680"/>
      <c r="W13" s="680"/>
    </row>
    <row r="14" spans="2:23" ht="20.100000000000001" customHeight="1" thickBot="1" x14ac:dyDescent="0.25">
      <c r="B14" s="675" t="str">
        <f>PedBerEnt!H4</f>
        <v/>
      </c>
      <c r="C14" s="593"/>
      <c r="D14" s="752" t="str">
        <f>PedBerEnt!J4</f>
        <v/>
      </c>
      <c r="E14" s="753" t="str">
        <f>IF(PedBerEnt!F4&gt;1,PedBerEnt!D4&amp;" gram","")</f>
        <v/>
      </c>
      <c r="F14" s="681"/>
      <c r="G14" s="682"/>
      <c r="H14" s="679" t="str">
        <f>PedBerEnt!L4</f>
        <v/>
      </c>
      <c r="I14" s="673"/>
      <c r="J14" s="781" t="str">
        <f>PedBerEnt!A14</f>
        <v>Na</v>
      </c>
      <c r="K14" s="747">
        <f>PedBerEnt!B14</f>
        <v>0</v>
      </c>
      <c r="L14" s="678" t="s">
        <v>159</v>
      </c>
      <c r="Q14" s="680"/>
      <c r="R14" s="680"/>
      <c r="S14" s="680"/>
      <c r="T14" s="680"/>
      <c r="U14" s="680"/>
      <c r="V14" s="680"/>
      <c r="W14" s="680"/>
    </row>
    <row r="15" spans="2:23" ht="20.100000000000001" customHeight="1" thickTop="1" thickBot="1" x14ac:dyDescent="0.25">
      <c r="B15" s="675" t="str">
        <f>PedBerEnt!H5</f>
        <v/>
      </c>
      <c r="C15" s="593"/>
      <c r="D15" s="754" t="str">
        <f>PedBerEnt!J5</f>
        <v/>
      </c>
      <c r="E15" s="755" t="str">
        <f>IF(PedBerEnt!F5&gt;1,PedBerEnt!D5&amp;" gram","")</f>
        <v/>
      </c>
      <c r="F15" s="683"/>
      <c r="G15" s="684"/>
      <c r="H15" s="679" t="str">
        <f>PedBerEnt!L5</f>
        <v/>
      </c>
      <c r="I15" s="673"/>
      <c r="J15" s="781" t="str">
        <f>PedBerEnt!A15</f>
        <v>K</v>
      </c>
      <c r="K15" s="747">
        <f>PedBerEnt!B15</f>
        <v>0</v>
      </c>
      <c r="L15" s="678" t="s">
        <v>159</v>
      </c>
      <c r="Q15" s="680"/>
      <c r="R15" s="680"/>
      <c r="S15" s="680"/>
      <c r="T15" s="680"/>
      <c r="U15" s="680"/>
      <c r="V15" s="680"/>
      <c r="W15" s="680"/>
    </row>
    <row r="16" spans="2:23" ht="20.100000000000001" customHeight="1" thickTop="1" thickBot="1" x14ac:dyDescent="0.25">
      <c r="B16" s="675" t="str">
        <f>PedBerEnt!H6</f>
        <v/>
      </c>
      <c r="C16" s="593"/>
      <c r="D16" s="756" t="str">
        <f>PedBerEnt!J6</f>
        <v/>
      </c>
      <c r="E16" s="757" t="str">
        <f>IF(PedBerEnt!F6&gt;1,PedBerEnt!D6&amp;" gram","")</f>
        <v/>
      </c>
      <c r="F16" s="683"/>
      <c r="G16" s="684"/>
      <c r="H16" s="679" t="str">
        <f>PedBerEnt!L6</f>
        <v/>
      </c>
      <c r="I16" s="673"/>
      <c r="J16" s="781" t="str">
        <f>PedBerEnt!A16</f>
        <v>Ca</v>
      </c>
      <c r="K16" s="747">
        <f>PedBerEnt!B16</f>
        <v>0</v>
      </c>
      <c r="L16" s="678" t="s">
        <v>159</v>
      </c>
      <c r="Q16" s="680"/>
      <c r="R16" s="680"/>
      <c r="S16" s="680"/>
      <c r="T16" s="680"/>
      <c r="U16" s="680"/>
      <c r="V16" s="680"/>
      <c r="W16" s="680"/>
    </row>
    <row r="17" spans="2:23" ht="20.100000000000001" customHeight="1" thickTop="1" x14ac:dyDescent="0.2">
      <c r="D17" s="629"/>
      <c r="E17" s="615"/>
      <c r="I17" s="673"/>
      <c r="J17" s="780" t="str">
        <f>PedBerEnt!A17</f>
        <v>P</v>
      </c>
      <c r="K17" s="747">
        <f>PedBerEnt!B17</f>
        <v>0</v>
      </c>
      <c r="L17" s="678" t="s">
        <v>159</v>
      </c>
      <c r="M17" s="680"/>
      <c r="Q17" s="680"/>
      <c r="R17" s="680"/>
      <c r="S17" s="680"/>
      <c r="T17" s="680"/>
      <c r="U17" s="680"/>
      <c r="V17" s="680"/>
      <c r="W17" s="680"/>
    </row>
    <row r="18" spans="2:23" ht="20.100000000000001" customHeight="1" thickBot="1" x14ac:dyDescent="0.25">
      <c r="B18" s="675" t="str">
        <f>PedBerEnt!H8</f>
        <v/>
      </c>
      <c r="C18" s="593"/>
      <c r="D18" s="780" t="s">
        <v>285</v>
      </c>
      <c r="E18" s="875">
        <f>_Ped_Ent_Opm</f>
        <v>0</v>
      </c>
      <c r="F18" s="876"/>
      <c r="G18" s="876"/>
      <c r="H18" s="876"/>
      <c r="I18" s="673"/>
      <c r="J18" s="781" t="str">
        <f>PedBerEnt!A18</f>
        <v>Mg</v>
      </c>
      <c r="K18" s="748">
        <f>PedBerEnt!B18</f>
        <v>0</v>
      </c>
      <c r="L18" s="678" t="s">
        <v>159</v>
      </c>
      <c r="M18" s="680"/>
      <c r="Q18" s="680"/>
      <c r="R18" s="680"/>
      <c r="S18" s="680"/>
      <c r="T18" s="680"/>
      <c r="U18" s="680"/>
      <c r="V18" s="680"/>
      <c r="W18" s="680"/>
    </row>
    <row r="19" spans="2:23" ht="8.1" customHeight="1" thickTop="1" x14ac:dyDescent="0.2">
      <c r="D19" s="685"/>
      <c r="E19" s="615"/>
      <c r="I19" s="673"/>
      <c r="J19" s="686"/>
      <c r="L19" s="680"/>
      <c r="M19" s="680"/>
      <c r="Q19" s="680"/>
      <c r="R19" s="680"/>
      <c r="S19" s="680"/>
      <c r="T19" s="680"/>
      <c r="U19" s="680"/>
      <c r="V19" s="680"/>
      <c r="W19" s="680"/>
    </row>
    <row r="20" spans="2:23" ht="20.100000000000001" customHeight="1" x14ac:dyDescent="0.2">
      <c r="B20" s="632" t="s">
        <v>4115</v>
      </c>
      <c r="C20" s="632"/>
      <c r="D20" s="632" t="s">
        <v>528</v>
      </c>
      <c r="E20" s="632"/>
      <c r="F20" s="632"/>
      <c r="G20" s="632"/>
      <c r="H20" s="632"/>
      <c r="I20" s="812"/>
      <c r="J20" s="632"/>
      <c r="K20" s="817"/>
      <c r="L20" s="817"/>
      <c r="M20" s="680"/>
      <c r="Q20" s="680"/>
      <c r="R20" s="680"/>
      <c r="S20" s="680"/>
      <c r="T20" s="680"/>
      <c r="U20" s="680"/>
      <c r="V20" s="680"/>
      <c r="W20" s="680"/>
    </row>
    <row r="21" spans="2:23" ht="8.1" customHeight="1" x14ac:dyDescent="0.2">
      <c r="B21" s="646"/>
      <c r="C21" s="646"/>
      <c r="D21" s="645"/>
      <c r="E21" s="646"/>
      <c r="F21" s="646"/>
      <c r="G21" s="646"/>
      <c r="H21" s="646"/>
      <c r="I21" s="687"/>
      <c r="J21" s="646"/>
      <c r="K21" s="688"/>
      <c r="L21" s="688"/>
      <c r="M21" s="680"/>
      <c r="Q21" s="680"/>
      <c r="R21" s="680"/>
      <c r="S21" s="680"/>
      <c r="T21" s="680"/>
      <c r="U21" s="680"/>
      <c r="V21" s="680"/>
      <c r="W21" s="680"/>
    </row>
    <row r="22" spans="2:23" ht="20.100000000000001" customHeight="1" x14ac:dyDescent="0.2">
      <c r="B22" s="675" t="str">
        <f>IF(AND(E22="",J22=""),"","verw")</f>
        <v/>
      </c>
      <c r="C22" s="593"/>
      <c r="D22" s="780" t="s">
        <v>4324</v>
      </c>
      <c r="E22" s="745" t="str">
        <f>IF(PedBerTPN!F3&lt;&gt;0,IF(PedBerTPN!F3/24&gt;=10,ROUND(PedBerTPN!F3/24,1),ROUND(PedBerTPN!F3/24,1))&amp;" ml/uur","")</f>
        <v/>
      </c>
      <c r="F22" s="674"/>
      <c r="G22" s="673"/>
      <c r="H22" s="673" t="str">
        <f>IF(E22&lt;&gt;"",PedBerTPN!F3&amp;" mL/dag","")</f>
        <v/>
      </c>
      <c r="I22" s="780" t="s">
        <v>4335</v>
      </c>
      <c r="J22" s="676" t="str">
        <f>IF(PedBerTPN!D19&lt;&gt;0,PedBerTPN!E19&amp;" ml/uur","")</f>
        <v/>
      </c>
      <c r="K22" s="673"/>
      <c r="L22" s="674" t="str">
        <f>IF(J22&lt;&gt;"",PedBerTPN!F19&amp;" mL/dag","")</f>
        <v/>
      </c>
      <c r="Q22" s="680"/>
      <c r="U22" s="680"/>
      <c r="V22" s="680"/>
      <c r="W22" s="680"/>
    </row>
    <row r="23" spans="2:23" ht="20.100000000000001" customHeight="1" x14ac:dyDescent="0.2">
      <c r="B23" s="675"/>
      <c r="C23" s="593"/>
      <c r="D23" s="593"/>
      <c r="F23" s="746" t="str">
        <f>IF(AND(PedBerTPN!E4&lt;&gt;0,PedBerTPN!E4&lt;&gt;"",PedBerTPN!B4&lt;&gt;1,PedBerTPN!F4&lt;&gt;0),PedBerTPN!F4&amp;" ml","")</f>
        <v/>
      </c>
      <c r="G23" s="674"/>
      <c r="H23" s="673"/>
      <c r="I23" s="593"/>
      <c r="K23" s="678"/>
      <c r="L23" s="678"/>
      <c r="Q23" s="680"/>
      <c r="U23" s="680"/>
      <c r="V23" s="680"/>
      <c r="W23" s="680"/>
    </row>
    <row r="24" spans="2:23" ht="20.100000000000001" customHeight="1" thickBot="1" x14ac:dyDescent="0.25">
      <c r="B24" s="675" t="str">
        <f>IF(E24="","","verw")</f>
        <v/>
      </c>
      <c r="C24" s="593"/>
      <c r="D24" s="780" t="s">
        <v>4325</v>
      </c>
      <c r="E24" s="673" t="str">
        <f>IF(AND(_Pat_Gewicht/10&gt;=16,_Ped_TPN_Keuze=2),ROUND((PedBerTPN!F5+PedBerTPN!F17)/24,1)&amp;" ml/uur","")</f>
        <v/>
      </c>
      <c r="F24" s="748" t="str">
        <f>IF(AND(_Pat_Gewicht/10&gt;=16,_Ped_TPN_Keuze=2),PedBerTPN!F5&amp;" ml","")</f>
        <v/>
      </c>
      <c r="G24" s="674" t="str">
        <f>IF(AND(_Pat_Gewicht/10&gt;=16,_Ped_TPN_Keuze=2)," in 100 ml glucose 10%,","")</f>
        <v/>
      </c>
      <c r="H24" s="673"/>
      <c r="I24" s="593"/>
      <c r="K24" s="678"/>
      <c r="L24" s="678"/>
      <c r="Q24" s="680"/>
      <c r="U24" s="680"/>
      <c r="V24" s="680"/>
      <c r="W24" s="680"/>
    </row>
    <row r="25" spans="2:23" ht="20.100000000000001" customHeight="1" thickTop="1" thickBot="1" x14ac:dyDescent="0.25">
      <c r="B25" s="675"/>
      <c r="C25" s="593"/>
      <c r="D25" s="593"/>
      <c r="F25" s="689" t="str">
        <f>IF(PedBerTPN!F6&lt;&gt;0,ROUND(PedBerTPN!F6,1)&amp;" ml","")</f>
        <v/>
      </c>
      <c r="G25" s="874"/>
      <c r="H25" s="874"/>
      <c r="I25" s="593"/>
      <c r="K25" s="673" t="str">
        <f>IF(PedBerTPN!F20&lt;&gt;0,ROUND(PedBerTPN!F20,1)&amp;" ml","")</f>
        <v/>
      </c>
      <c r="L25" s="673"/>
      <c r="Q25" s="680"/>
      <c r="U25" s="680"/>
      <c r="V25" s="680"/>
      <c r="W25" s="680"/>
    </row>
    <row r="26" spans="2:23" ht="20.100000000000001" customHeight="1" thickTop="1" x14ac:dyDescent="0.2">
      <c r="B26" s="675"/>
      <c r="C26" s="593"/>
      <c r="D26" s="780" t="s">
        <v>4326</v>
      </c>
      <c r="E26" s="673"/>
      <c r="F26" s="749" t="str">
        <f>IF(PedBerTPN!C7,PedBerTPN!F7&amp;" ml","")</f>
        <v/>
      </c>
      <c r="G26" s="673"/>
      <c r="H26" s="673"/>
      <c r="I26" s="780" t="s">
        <v>4326</v>
      </c>
      <c r="J26" s="746" t="str">
        <f>IF(PedBerTPN!C21,PedBerTPN!F21&amp;" ml","")</f>
        <v/>
      </c>
      <c r="K26" s="673"/>
      <c r="L26" s="673"/>
      <c r="Q26" s="680"/>
      <c r="U26" s="680"/>
      <c r="V26" s="680"/>
      <c r="W26" s="680"/>
    </row>
    <row r="27" spans="2:23" ht="20.100000000000001" customHeight="1" thickBot="1" x14ac:dyDescent="0.25">
      <c r="B27" s="675"/>
      <c r="C27" s="593"/>
      <c r="D27" s="780" t="s">
        <v>4327</v>
      </c>
      <c r="E27" s="673"/>
      <c r="F27" s="748" t="str">
        <f>IF(PedBerTPN!C8,PedBerTPN!F8&amp;" ml","")</f>
        <v/>
      </c>
      <c r="G27" s="673"/>
      <c r="H27" s="673"/>
      <c r="I27" s="780" t="s">
        <v>4327</v>
      </c>
      <c r="J27" s="748" t="str">
        <f>IF(PedBerTPN!C22,PedBerTPN!F22&amp;" ml","")</f>
        <v/>
      </c>
      <c r="K27" s="673"/>
      <c r="L27" s="673"/>
      <c r="Q27" s="680"/>
      <c r="U27" s="680"/>
      <c r="V27" s="680"/>
      <c r="W27" s="680"/>
    </row>
    <row r="28" spans="2:23" ht="9.9499999999999993" customHeight="1" thickTop="1" thickBot="1" x14ac:dyDescent="0.25">
      <c r="B28" s="675"/>
      <c r="C28" s="593"/>
      <c r="D28" s="780"/>
      <c r="E28" s="673"/>
      <c r="F28" s="689"/>
      <c r="G28" s="673"/>
      <c r="H28" s="673"/>
      <c r="I28" s="629"/>
      <c r="K28" s="676"/>
      <c r="L28" s="676"/>
      <c r="Q28" s="680"/>
      <c r="U28" s="680"/>
      <c r="V28" s="680"/>
      <c r="W28" s="680"/>
    </row>
    <row r="29" spans="2:23" ht="20.100000000000001" customHeight="1" thickTop="1" x14ac:dyDescent="0.2">
      <c r="B29" s="675" t="str">
        <f>IF(E29="","","verw")</f>
        <v/>
      </c>
      <c r="C29" s="593"/>
      <c r="D29" s="780" t="s">
        <v>4328</v>
      </c>
      <c r="E29" s="673" t="str">
        <f>IF(AND(_Pat_Gewicht/10&lt;=50,_Ped_TPN_SST1Keuze&lt;11,_Ped_TPN_Keuze=2),ROUND((PedBerTPN!F17+PedBerTPN!F10+PedBerTPN!F9)/24,1)&amp;" ml/uur","")</f>
        <v/>
      </c>
      <c r="F29" s="749" t="str">
        <f>IF(PedBerTPN!C9,PedBerTPN!D9&amp;" ml","")</f>
        <v/>
      </c>
      <c r="G29" s="673" t="str">
        <f>IF(AND(_Pat_Gewicht/10&lt;=50,_Ped_TPN_SST1Keuze&lt;11,_Ped_TPN_Keuze=2),"in "&amp;PedBerTPN!F17&amp;" ml glucose 10%","")</f>
        <v/>
      </c>
      <c r="H29" s="673"/>
      <c r="I29" s="629"/>
      <c r="K29" s="680"/>
      <c r="L29" s="680"/>
      <c r="M29" s="680"/>
      <c r="O29" s="680"/>
      <c r="P29" s="680"/>
      <c r="Q29" s="680"/>
      <c r="U29" s="680"/>
      <c r="V29" s="680"/>
      <c r="W29" s="680"/>
    </row>
    <row r="30" spans="2:23" ht="20.100000000000001" customHeight="1" thickBot="1" x14ac:dyDescent="0.25">
      <c r="B30" s="675"/>
      <c r="C30" s="593"/>
      <c r="D30" s="780" t="s">
        <v>4329</v>
      </c>
      <c r="E30" s="673"/>
      <c r="F30" s="748" t="str">
        <f>IF(PedBerTPN!C10,PedBerTPN!D10&amp;" ml","")</f>
        <v/>
      </c>
      <c r="G30" s="673"/>
      <c r="H30" s="690"/>
      <c r="K30" s="680"/>
      <c r="L30" s="680"/>
      <c r="M30" s="680"/>
      <c r="N30" s="680"/>
      <c r="O30" s="680"/>
      <c r="P30" s="680"/>
      <c r="Q30" s="680"/>
      <c r="U30" s="680"/>
      <c r="V30" s="680"/>
      <c r="W30" s="680"/>
    </row>
    <row r="31" spans="2:23" ht="9.9499999999999993" customHeight="1" thickTop="1" thickBot="1" x14ac:dyDescent="0.25">
      <c r="B31" s="675"/>
      <c r="D31" s="672"/>
      <c r="E31" s="673"/>
      <c r="F31" s="689"/>
      <c r="G31" s="673"/>
      <c r="H31" s="673"/>
      <c r="K31" s="680"/>
      <c r="L31" s="680"/>
      <c r="M31" s="680"/>
      <c r="N31" s="680"/>
      <c r="O31" s="680"/>
      <c r="P31" s="680"/>
      <c r="Q31" s="680"/>
      <c r="U31" s="680"/>
      <c r="V31" s="680"/>
      <c r="W31" s="680"/>
    </row>
    <row r="32" spans="2:23" ht="20.100000000000001" customHeight="1" thickTop="1" thickBot="1" x14ac:dyDescent="0.25">
      <c r="B32" s="675" t="str">
        <f>IF(E32="","","verw")</f>
        <v/>
      </c>
      <c r="C32" s="593"/>
      <c r="D32" s="780" t="s">
        <v>308</v>
      </c>
      <c r="E32" s="673" t="str">
        <f>IF(PedBerTPN!F11&gt;0,((ROUND(PedBerTPN!F11*1.5/(_Pat_Gewicht/10)/24/0.01,1)*24-PedBerTPN!F11)+PedBerTPN!F11)/24&amp;" ml/uur","")</f>
        <v/>
      </c>
      <c r="F32" s="744" t="str">
        <f>IF(PedBerTPN!C11,PedBerTPN!F11&amp;" ml","")</f>
        <v/>
      </c>
      <c r="G32" s="673" t="str">
        <f>IF(PedBerTPN!F11&gt;0,"plus "&amp;(ROUND(PedBerTPN!F11*1.5/(_Pat_Gewicht/10)/24/0.01,1)*24-PedBerTPN!F11)&amp;" ml gluc 5%","")</f>
        <v/>
      </c>
      <c r="H32" s="673" t="str">
        <f>IF(PedBerTPN!F11&gt;0,ROUND(PedBerTPN!F11*1.5/(_Pat_Gewicht/10),2)&amp;" mmol/kg","")</f>
        <v/>
      </c>
      <c r="K32" s="680"/>
      <c r="L32" s="680"/>
      <c r="M32" s="680"/>
      <c r="N32" s="680"/>
      <c r="O32" s="680"/>
      <c r="P32" s="680"/>
      <c r="Q32" s="680"/>
      <c r="U32" s="680"/>
      <c r="V32" s="680"/>
      <c r="W32" s="680"/>
    </row>
    <row r="33" spans="2:23" ht="8.1" customHeight="1" thickTop="1" x14ac:dyDescent="0.2">
      <c r="B33" s="675"/>
      <c r="C33" s="646"/>
      <c r="D33" s="672"/>
      <c r="F33" s="676"/>
      <c r="G33" s="673"/>
      <c r="H33" s="673"/>
      <c r="K33" s="680"/>
      <c r="L33" s="680"/>
      <c r="M33" s="680"/>
      <c r="N33" s="680"/>
      <c r="O33" s="680"/>
      <c r="P33" s="680"/>
      <c r="Q33" s="680"/>
      <c r="U33" s="680"/>
      <c r="V33" s="680"/>
      <c r="W33" s="680"/>
    </row>
    <row r="34" spans="2:23" ht="20.100000000000001" customHeight="1" x14ac:dyDescent="0.2">
      <c r="B34" s="675" t="str">
        <f>IF(E34="","","verw")</f>
        <v/>
      </c>
      <c r="C34" s="593"/>
      <c r="D34" s="780" t="s">
        <v>4330</v>
      </c>
      <c r="E34" s="745" t="str">
        <f>IF(PedBerTPN!D12&lt;&gt;0,PedBerTPN!E12&amp;" ml/uur","")</f>
        <v/>
      </c>
      <c r="F34" s="673"/>
      <c r="G34" s="673"/>
      <c r="H34" s="673" t="str">
        <f>IF(PedBerTPN!F12&lt;&gt;0,PedBerTPN!F12&amp;" ml per dag","")</f>
        <v/>
      </c>
      <c r="K34" s="680"/>
      <c r="L34" s="680"/>
      <c r="M34" s="680"/>
      <c r="N34" s="680"/>
      <c r="O34" s="680"/>
      <c r="P34" s="680"/>
      <c r="Q34" s="680"/>
      <c r="U34" s="680"/>
      <c r="V34" s="680"/>
      <c r="W34" s="680"/>
    </row>
    <row r="35" spans="2:23" ht="20.100000000000001" customHeight="1" x14ac:dyDescent="0.2">
      <c r="B35" s="675"/>
      <c r="C35" s="593"/>
      <c r="D35" s="780" t="s">
        <v>4331</v>
      </c>
      <c r="E35" s="673"/>
      <c r="F35" s="676" t="str">
        <f>IF(PedBerTPN!F13&lt;&gt;0,ROUND(PedBerTPN!F13,0)&amp;" ml","")</f>
        <v/>
      </c>
      <c r="G35" s="673"/>
      <c r="H35" s="673"/>
      <c r="K35" s="680"/>
      <c r="L35" s="680"/>
      <c r="M35" s="680"/>
      <c r="N35" s="680"/>
      <c r="O35" s="680"/>
      <c r="P35" s="680"/>
      <c r="Q35" s="680"/>
      <c r="U35" s="680"/>
      <c r="V35" s="680"/>
      <c r="W35" s="680"/>
    </row>
    <row r="36" spans="2:23" ht="20.100000000000001" customHeight="1" x14ac:dyDescent="0.2">
      <c r="B36" s="675"/>
      <c r="C36" s="593"/>
      <c r="D36" s="780" t="s">
        <v>4332</v>
      </c>
      <c r="E36" s="673"/>
      <c r="F36" s="746" t="str">
        <f>IF(PedBerTPN!C14,PedBerTPN!F14&amp;" ml","")</f>
        <v/>
      </c>
      <c r="G36" s="673"/>
      <c r="H36" s="673"/>
      <c r="K36" s="680"/>
      <c r="L36" s="680"/>
      <c r="M36" s="680"/>
      <c r="N36" s="680"/>
      <c r="O36" s="680"/>
      <c r="P36" s="680"/>
      <c r="Q36" s="680"/>
      <c r="R36" s="680"/>
      <c r="S36" s="680"/>
      <c r="T36" s="680"/>
      <c r="U36" s="680"/>
      <c r="V36" s="680"/>
      <c r="W36" s="680"/>
    </row>
    <row r="37" spans="2:23" ht="20.100000000000001" customHeight="1" thickBot="1" x14ac:dyDescent="0.25">
      <c r="B37" s="675"/>
      <c r="C37" s="593"/>
      <c r="D37" s="780" t="s">
        <v>4333</v>
      </c>
      <c r="E37" s="673"/>
      <c r="F37" s="748" t="str">
        <f>IF(PedBerTPN!C15,PedBerTPN!F15&amp;" ml","")</f>
        <v/>
      </c>
      <c r="G37" s="673"/>
      <c r="H37" s="673"/>
      <c r="K37" s="680"/>
      <c r="L37" s="680"/>
      <c r="M37" s="680"/>
      <c r="N37" s="680"/>
      <c r="O37" s="680"/>
      <c r="P37" s="680"/>
      <c r="Q37" s="680"/>
      <c r="R37" s="680"/>
      <c r="S37" s="680"/>
      <c r="T37" s="680"/>
      <c r="U37" s="680"/>
      <c r="V37" s="680"/>
      <c r="W37" s="680"/>
    </row>
    <row r="38" spans="2:23" ht="9.9499999999999993" customHeight="1" thickTop="1" x14ac:dyDescent="0.2">
      <c r="B38" s="675"/>
      <c r="F38" s="676"/>
      <c r="K38" s="680"/>
      <c r="L38" s="680"/>
      <c r="M38" s="680"/>
      <c r="N38" s="680"/>
      <c r="O38" s="680"/>
      <c r="P38" s="680"/>
      <c r="Q38" s="680"/>
      <c r="R38" s="680"/>
      <c r="S38" s="680"/>
      <c r="T38" s="680"/>
      <c r="U38" s="680"/>
      <c r="V38" s="680"/>
      <c r="W38" s="680"/>
    </row>
    <row r="39" spans="2:23" ht="20.100000000000001" customHeight="1" x14ac:dyDescent="0.2">
      <c r="B39" s="675" t="str">
        <f>IF(OR(E39=0,E39=""),"","verw")</f>
        <v/>
      </c>
      <c r="C39" s="593"/>
      <c r="D39" s="780" t="s">
        <v>4334</v>
      </c>
      <c r="E39" s="875">
        <f>GlobBerOpm!B3</f>
        <v>0</v>
      </c>
      <c r="F39" s="876"/>
      <c r="G39" s="876"/>
      <c r="H39" s="876"/>
      <c r="K39" s="680"/>
      <c r="L39" s="680"/>
      <c r="M39" s="680"/>
      <c r="N39" s="680"/>
      <c r="O39" s="680"/>
      <c r="P39" s="680"/>
      <c r="Q39" s="680"/>
      <c r="R39" s="680"/>
      <c r="S39" s="680"/>
      <c r="T39" s="680"/>
      <c r="U39" s="680"/>
      <c r="V39" s="680"/>
      <c r="W39" s="680"/>
    </row>
    <row r="40" spans="2:23" ht="10.5" customHeight="1" x14ac:dyDescent="0.2">
      <c r="D40" s="676"/>
      <c r="F40" s="676"/>
      <c r="K40" s="680"/>
      <c r="L40" s="680"/>
      <c r="M40" s="680"/>
      <c r="N40" s="680"/>
      <c r="O40" s="680"/>
      <c r="P40" s="680"/>
      <c r="Q40" s="680"/>
      <c r="R40" s="680"/>
      <c r="S40" s="680"/>
      <c r="T40" s="680"/>
      <c r="U40" s="680"/>
      <c r="V40" s="680"/>
      <c r="W40" s="680"/>
    </row>
    <row r="41" spans="2:23" x14ac:dyDescent="0.2">
      <c r="B41" s="633"/>
      <c r="C41" s="633" t="s">
        <v>269</v>
      </c>
      <c r="D41" s="633"/>
      <c r="E41" s="633" t="str">
        <f>ROUND(PedBerTot!C2,0)&amp;" ml/kg"</f>
        <v>0 ml/kg</v>
      </c>
      <c r="F41" s="633" t="str">
        <f ca="1">ROUND(GlobBerNorm!$A$18,0)&amp;" ml/kg"</f>
        <v>150 ml/kg</v>
      </c>
      <c r="G41" s="633" t="str">
        <f>"= "&amp;ROUND(PedBerTot!C2*_Pat_Gewicht/10,0)&amp;" ml/dag"</f>
        <v>= 0 ml/dag</v>
      </c>
      <c r="H41" s="633"/>
      <c r="I41" s="633" t="s">
        <v>216</v>
      </c>
      <c r="J41" s="633" t="str">
        <f>ROUND(PedBerTot!$C$9,1)&amp;"  gram/kg"</f>
        <v>0  gram/kg</v>
      </c>
      <c r="K41" s="633" t="str">
        <f>IF(_Pat_Gewicht/10&lt;30,"2-2,5 g/kg","1,5 g/kg")</f>
        <v>2-2,5 g/kg</v>
      </c>
      <c r="L41" s="633"/>
    </row>
    <row r="42" spans="2:23" x14ac:dyDescent="0.2">
      <c r="B42" s="633"/>
      <c r="C42" s="633" t="s">
        <v>270</v>
      </c>
      <c r="D42" s="633"/>
      <c r="E42" s="633" t="str">
        <f>ROUND(PedBerTot!E44,0)&amp;" kCal/kg"</f>
        <v>0 kCal/kg</v>
      </c>
      <c r="F42" s="633" t="str">
        <f ca="1">GlobBerNorm!$A$21&amp;" kCal/kg"</f>
        <v>0 kCal/kg</v>
      </c>
      <c r="G42" s="633"/>
      <c r="H42" s="633"/>
      <c r="I42" s="633" t="s">
        <v>217</v>
      </c>
      <c r="J42" s="633" t="str">
        <f>ROUND(PedBerTot!$C$13,1)&amp;" gram/kg"</f>
        <v>0 gram/kg</v>
      </c>
      <c r="K42" s="633" t="str">
        <f>IF(_Pat_Gewicht/10&lt;30,"4 g/kg","2 g/kg")</f>
        <v>4 g/kg</v>
      </c>
      <c r="L42" s="633"/>
    </row>
    <row r="43" spans="2:23" x14ac:dyDescent="0.2">
      <c r="B43" s="633"/>
      <c r="C43" s="633" t="s">
        <v>232</v>
      </c>
      <c r="D43" s="633"/>
      <c r="E43" s="633" t="str">
        <f>ROUND(PedBerTot!C5,1)&amp;" g/kg"</f>
        <v>0 g/kg</v>
      </c>
      <c r="F43" s="633" t="s">
        <v>346</v>
      </c>
      <c r="G43" s="633" t="str">
        <f>"= "&amp;ROUND(PedBerTot!C5/1.4,1)&amp;" mg/kg/min"</f>
        <v>= 0 mg/kg/min</v>
      </c>
      <c r="H43" s="633"/>
      <c r="I43" s="633" t="s">
        <v>218</v>
      </c>
      <c r="J43" s="633" t="str">
        <f>ROUND(PedBerTot!$C$27,1)&amp;" mmol/kg"</f>
        <v>0 mmol/kg</v>
      </c>
      <c r="K43" s="633" t="s">
        <v>421</v>
      </c>
      <c r="L43" s="633"/>
    </row>
    <row r="44" spans="2:23" x14ac:dyDescent="0.2">
      <c r="B44" s="633"/>
      <c r="C44" s="633" t="s">
        <v>271</v>
      </c>
      <c r="D44" s="633"/>
      <c r="E44" s="633" t="str">
        <f>ROUND(PedBerTot!C17,1)&amp;" mmol/kg"</f>
        <v>0 mmol/kg</v>
      </c>
      <c r="F44" s="633" t="s">
        <v>340</v>
      </c>
      <c r="G44" s="633"/>
      <c r="H44" s="633"/>
      <c r="I44" s="633" t="s">
        <v>309</v>
      </c>
      <c r="J44" s="633" t="str">
        <f>ROUND(PedBerTot!$C$33,1)&amp;" mmol/kg"</f>
        <v>0 mmol/kg</v>
      </c>
      <c r="K44" s="633" t="s">
        <v>345</v>
      </c>
      <c r="L44" s="633"/>
    </row>
    <row r="45" spans="2:23" x14ac:dyDescent="0.2">
      <c r="B45" s="633"/>
      <c r="C45" s="633" t="s">
        <v>272</v>
      </c>
      <c r="D45" s="633"/>
      <c r="E45" s="633" t="str">
        <f>ROUND(PedBerTot!C23,1)&amp;" mmol/kg"</f>
        <v>0 mmol/kg</v>
      </c>
      <c r="F45" s="633" t="s">
        <v>339</v>
      </c>
      <c r="G45" s="633"/>
      <c r="H45" s="633"/>
      <c r="I45" s="633" t="s">
        <v>219</v>
      </c>
      <c r="J45" s="633" t="str">
        <f>ROUND(PedBerTot!$C$30,1)&amp;" mmol/kg"</f>
        <v>0 mmol/kg</v>
      </c>
      <c r="K45" s="633" t="s">
        <v>344</v>
      </c>
      <c r="L45" s="633"/>
    </row>
  </sheetData>
  <sheetProtection password="CC20" sheet="1" objects="1" scenario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8" type="noConversion"/>
  <conditionalFormatting sqref="K3:L5">
    <cfRule type="expression" dxfId="15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Y21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E2" sqref="E2"/>
    </sheetView>
  </sheetViews>
  <sheetFormatPr defaultRowHeight="12.75" x14ac:dyDescent="0.2"/>
  <cols>
    <col min="1" max="1" width="13.42578125" style="334" customWidth="1"/>
    <col min="2" max="3" width="9.140625" style="334"/>
    <col min="4" max="4" width="9.42578125" style="334" bestFit="1" customWidth="1"/>
    <col min="5" max="7" width="9.140625" style="334"/>
    <col min="8" max="9" width="10.5703125" style="334" customWidth="1"/>
    <col min="10" max="12" width="12.7109375" style="334" customWidth="1"/>
    <col min="13" max="13" width="28.85546875" style="334" customWidth="1"/>
    <col min="14" max="16384" width="9.140625" style="334"/>
  </cols>
  <sheetData>
    <row r="1" spans="1:25" x14ac:dyDescent="0.2">
      <c r="M1" s="334">
        <v>1</v>
      </c>
      <c r="N1" s="334">
        <v>3</v>
      </c>
      <c r="O1" s="334">
        <v>4</v>
      </c>
      <c r="P1" s="334">
        <v>5</v>
      </c>
      <c r="Q1" s="334">
        <v>6</v>
      </c>
      <c r="R1" s="334">
        <v>7</v>
      </c>
      <c r="S1" s="334">
        <v>8</v>
      </c>
      <c r="T1" s="334">
        <v>9</v>
      </c>
      <c r="U1" s="334">
        <v>10</v>
      </c>
      <c r="V1" s="334">
        <v>11</v>
      </c>
      <c r="W1" s="334">
        <v>12</v>
      </c>
      <c r="X1" s="334">
        <v>13</v>
      </c>
      <c r="Y1" s="334">
        <v>14</v>
      </c>
    </row>
    <row r="2" spans="1:25" x14ac:dyDescent="0.2">
      <c r="A2" s="335"/>
      <c r="B2" s="334" t="s">
        <v>112</v>
      </c>
      <c r="C2" s="334" t="s">
        <v>87</v>
      </c>
      <c r="E2" s="334" t="s">
        <v>276</v>
      </c>
      <c r="F2" s="334" t="s">
        <v>234</v>
      </c>
      <c r="G2" s="335" t="s">
        <v>488</v>
      </c>
      <c r="H2" s="335" t="s">
        <v>4108</v>
      </c>
      <c r="I2" s="335" t="s">
        <v>4317</v>
      </c>
      <c r="J2" s="335" t="s">
        <v>4321</v>
      </c>
      <c r="K2" s="335" t="s">
        <v>4322</v>
      </c>
      <c r="L2" s="335" t="s">
        <v>4323</v>
      </c>
      <c r="M2" s="335" t="s">
        <v>277</v>
      </c>
      <c r="N2" s="20" t="s">
        <v>227</v>
      </c>
      <c r="O2" s="20" t="s">
        <v>189</v>
      </c>
      <c r="P2" s="20" t="s">
        <v>228</v>
      </c>
      <c r="Q2" s="20" t="s">
        <v>190</v>
      </c>
      <c r="R2" s="20" t="s">
        <v>222</v>
      </c>
      <c r="S2" s="20" t="s">
        <v>223</v>
      </c>
      <c r="T2" s="20" t="s">
        <v>224</v>
      </c>
      <c r="U2" s="20" t="s">
        <v>229</v>
      </c>
      <c r="V2" s="20" t="s">
        <v>225</v>
      </c>
      <c r="W2" s="150" t="s">
        <v>859</v>
      </c>
      <c r="X2" s="150" t="s">
        <v>860</v>
      </c>
      <c r="Y2" s="150" t="s">
        <v>574</v>
      </c>
    </row>
    <row r="3" spans="1:25" x14ac:dyDescent="0.2">
      <c r="A3" s="150" t="s">
        <v>277</v>
      </c>
      <c r="B3" s="20">
        <v>1</v>
      </c>
      <c r="C3" s="20">
        <v>0</v>
      </c>
      <c r="D3" s="334">
        <f>IF(C3&lt;51,C3/10,IF(C3&lt;66,(C3-49)+4,IF(C3&lt;82,(C3-61)*5,IF(C3&lt;122,(C3-71)*10,(C3-111)*50))))</f>
        <v>0</v>
      </c>
      <c r="E3" s="20">
        <f>IF(F3&gt;1,B3*D3,0)</f>
        <v>0</v>
      </c>
      <c r="F3" s="334">
        <v>1</v>
      </c>
      <c r="G3" s="334">
        <v>1</v>
      </c>
      <c r="H3" s="334" t="str">
        <f>IF(F3&gt;1,"verw","")</f>
        <v/>
      </c>
      <c r="I3" s="334" t="str">
        <f>IF(G3&gt;1,"verw","")</f>
        <v/>
      </c>
      <c r="J3" s="334" t="str">
        <f>IF(AND(E3&lt;&gt;0,E3&lt;&gt;""),IF(B3=24,"continue drip",B3&amp;" dd"),"")</f>
        <v/>
      </c>
      <c r="K3" s="334" t="str">
        <f>IF(OR(E3=0,E3=""),"",C3&amp;" mL")</f>
        <v/>
      </c>
      <c r="L3" s="334" t="str">
        <f>IF(PedBerEnt!F3&gt;1,PedBerEnt!E3&amp;" mL/dag","")</f>
        <v/>
      </c>
      <c r="M3" s="334">
        <f t="shared" ref="M3:Y3" si="0">INDEX(Tbl_Ped_Voeding,$F3,M$1)</f>
        <v>0</v>
      </c>
      <c r="N3" s="334">
        <f t="shared" si="0"/>
        <v>0</v>
      </c>
      <c r="O3" s="334">
        <f t="shared" si="0"/>
        <v>0</v>
      </c>
      <c r="P3" s="334">
        <f t="shared" si="0"/>
        <v>0</v>
      </c>
      <c r="Q3" s="334">
        <f t="shared" si="0"/>
        <v>0</v>
      </c>
      <c r="R3" s="334">
        <f t="shared" si="0"/>
        <v>0</v>
      </c>
      <c r="S3" s="334">
        <f t="shared" si="0"/>
        <v>0</v>
      </c>
      <c r="T3" s="334">
        <f t="shared" si="0"/>
        <v>0</v>
      </c>
      <c r="U3" s="334">
        <f t="shared" si="0"/>
        <v>0</v>
      </c>
      <c r="V3" s="334">
        <f t="shared" si="0"/>
        <v>0</v>
      </c>
      <c r="W3" s="334">
        <f t="shared" si="0"/>
        <v>0</v>
      </c>
      <c r="X3" s="334">
        <f t="shared" si="0"/>
        <v>0</v>
      </c>
      <c r="Y3" s="334">
        <f t="shared" si="0"/>
        <v>0</v>
      </c>
    </row>
    <row r="4" spans="1:25" x14ac:dyDescent="0.2">
      <c r="A4" s="150" t="s">
        <v>5036</v>
      </c>
      <c r="B4" s="334">
        <v>1</v>
      </c>
      <c r="C4" s="334">
        <v>0</v>
      </c>
      <c r="D4" s="334">
        <f>IF(C4&lt;51,C4/10,IF(C4&lt;66,(C4-49)+4,IF(C4&lt;82,(C4-61)*5,IF(C4&lt;122,(C4-71)*10,(C4-111)*50))))</f>
        <v>0</v>
      </c>
      <c r="E4" s="20">
        <f>IF(F4&gt;1,B4*D4,0)</f>
        <v>0</v>
      </c>
      <c r="F4" s="334">
        <v>1</v>
      </c>
      <c r="H4" s="334" t="str">
        <f t="shared" ref="H4:H6" si="1">IF(F4&gt;1,"verw","")</f>
        <v/>
      </c>
      <c r="J4" s="334" t="str">
        <f t="shared" ref="J4:J6" si="2">IF(AND(E4&lt;&gt;0,E4&lt;&gt;""),B4&amp;" dd","")</f>
        <v/>
      </c>
      <c r="K4" s="334" t="str">
        <f t="shared" ref="K4:K6" si="3">IF(OR(E4=0,E4=""),"",C4&amp;" mL")</f>
        <v/>
      </c>
      <c r="L4" s="334" t="str">
        <f>IF(PedBerEnt!F4&gt;1,PedBerEnt!E4&amp;" gram/dag","")</f>
        <v/>
      </c>
      <c r="M4" s="334">
        <f t="shared" ref="M4:Y6" si="4">INDEX(Tbl_Ped_Poeder,$F4,M$1)</f>
        <v>0</v>
      </c>
      <c r="N4" s="334">
        <f t="shared" si="4"/>
        <v>0</v>
      </c>
      <c r="O4" s="334">
        <f t="shared" si="4"/>
        <v>0</v>
      </c>
      <c r="P4" s="334">
        <f t="shared" si="4"/>
        <v>0</v>
      </c>
      <c r="Q4" s="334">
        <f t="shared" si="4"/>
        <v>0</v>
      </c>
      <c r="R4" s="334">
        <f t="shared" si="4"/>
        <v>0</v>
      </c>
      <c r="S4" s="334">
        <f t="shared" si="4"/>
        <v>0</v>
      </c>
      <c r="T4" s="334">
        <f t="shared" si="4"/>
        <v>0</v>
      </c>
      <c r="U4" s="334">
        <f t="shared" si="4"/>
        <v>0</v>
      </c>
      <c r="V4" s="334">
        <f t="shared" si="4"/>
        <v>0</v>
      </c>
      <c r="W4" s="334">
        <f t="shared" si="4"/>
        <v>0</v>
      </c>
      <c r="X4" s="334">
        <f t="shared" si="4"/>
        <v>0</v>
      </c>
      <c r="Y4" s="334">
        <f t="shared" si="4"/>
        <v>0</v>
      </c>
    </row>
    <row r="5" spans="1:25" x14ac:dyDescent="0.2">
      <c r="A5" s="150" t="s">
        <v>5037</v>
      </c>
      <c r="B5" s="334">
        <v>1</v>
      </c>
      <c r="C5" s="334">
        <v>0</v>
      </c>
      <c r="D5" s="334">
        <f>IF(C5&lt;51,C5/10,IF(C5&lt;66,(C5-49)+4,IF(C5&lt;82,(C5-61)*5,IF(C5&lt;122,(C5-71)*10,(C5-111)*50))))</f>
        <v>0</v>
      </c>
      <c r="E5" s="20">
        <f>IF(F5&gt;1,B5*D5,0)</f>
        <v>0</v>
      </c>
      <c r="F5" s="334">
        <v>1</v>
      </c>
      <c r="H5" s="334" t="str">
        <f t="shared" si="1"/>
        <v/>
      </c>
      <c r="J5" s="334" t="str">
        <f t="shared" si="2"/>
        <v/>
      </c>
      <c r="K5" s="334" t="str">
        <f t="shared" si="3"/>
        <v/>
      </c>
      <c r="L5" s="334" t="str">
        <f>IF(PedBerEnt!F5&gt;1,PedBerEnt!E5&amp;" gram/dag","")</f>
        <v/>
      </c>
      <c r="M5" s="334">
        <f t="shared" si="4"/>
        <v>0</v>
      </c>
      <c r="N5" s="334">
        <f t="shared" si="4"/>
        <v>0</v>
      </c>
      <c r="O5" s="334">
        <f t="shared" si="4"/>
        <v>0</v>
      </c>
      <c r="P5" s="334">
        <f t="shared" si="4"/>
        <v>0</v>
      </c>
      <c r="Q5" s="334">
        <f t="shared" si="4"/>
        <v>0</v>
      </c>
      <c r="R5" s="334">
        <f t="shared" si="4"/>
        <v>0</v>
      </c>
      <c r="S5" s="334">
        <f t="shared" si="4"/>
        <v>0</v>
      </c>
      <c r="T5" s="334">
        <f t="shared" si="4"/>
        <v>0</v>
      </c>
      <c r="U5" s="334">
        <f t="shared" si="4"/>
        <v>0</v>
      </c>
      <c r="V5" s="334">
        <f t="shared" si="4"/>
        <v>0</v>
      </c>
      <c r="W5" s="334">
        <f t="shared" si="4"/>
        <v>0</v>
      </c>
      <c r="X5" s="334">
        <f t="shared" si="4"/>
        <v>0</v>
      </c>
      <c r="Y5" s="334">
        <f t="shared" si="4"/>
        <v>0</v>
      </c>
    </row>
    <row r="6" spans="1:25" x14ac:dyDescent="0.2">
      <c r="A6" s="150" t="s">
        <v>5038</v>
      </c>
      <c r="B6" s="334">
        <v>1</v>
      </c>
      <c r="C6" s="334">
        <v>0</v>
      </c>
      <c r="D6" s="334">
        <f>IF(C6&lt;51,C6/10,IF(C6&lt;66,(C6-49)+4,IF(C6&lt;82,(C6-61)*5,IF(C6&lt;122,(C6-71)*10,(C6-111)*50))))</f>
        <v>0</v>
      </c>
      <c r="E6" s="20">
        <f>IF(F6&gt;1,B6*D6,0)</f>
        <v>0</v>
      </c>
      <c r="F6" s="334">
        <v>1</v>
      </c>
      <c r="H6" s="334" t="str">
        <f t="shared" si="1"/>
        <v/>
      </c>
      <c r="J6" s="334" t="str">
        <f t="shared" si="2"/>
        <v/>
      </c>
      <c r="K6" s="334" t="str">
        <f t="shared" si="3"/>
        <v/>
      </c>
      <c r="L6" s="334" t="str">
        <f>IF(PedBerEnt!F6&gt;1,PedBerEnt!E6&amp;" gram/dag","")</f>
        <v/>
      </c>
      <c r="M6" s="334">
        <f t="shared" si="4"/>
        <v>0</v>
      </c>
      <c r="N6" s="334">
        <f t="shared" si="4"/>
        <v>0</v>
      </c>
      <c r="O6" s="334">
        <f t="shared" si="4"/>
        <v>0</v>
      </c>
      <c r="P6" s="334">
        <f t="shared" si="4"/>
        <v>0</v>
      </c>
      <c r="Q6" s="334">
        <f t="shared" si="4"/>
        <v>0</v>
      </c>
      <c r="R6" s="334">
        <f t="shared" si="4"/>
        <v>0</v>
      </c>
      <c r="S6" s="334">
        <f t="shared" si="4"/>
        <v>0</v>
      </c>
      <c r="T6" s="334">
        <f t="shared" si="4"/>
        <v>0</v>
      </c>
      <c r="U6" s="334">
        <f t="shared" si="4"/>
        <v>0</v>
      </c>
      <c r="V6" s="334">
        <f t="shared" si="4"/>
        <v>0</v>
      </c>
      <c r="W6" s="334">
        <f t="shared" si="4"/>
        <v>0</v>
      </c>
      <c r="X6" s="334">
        <f t="shared" si="4"/>
        <v>0</v>
      </c>
      <c r="Y6" s="334">
        <f t="shared" si="4"/>
        <v>0</v>
      </c>
    </row>
    <row r="7" spans="1:25" x14ac:dyDescent="0.2">
      <c r="A7" s="150" t="s">
        <v>215</v>
      </c>
      <c r="E7" s="150">
        <f>E3</f>
        <v>0</v>
      </c>
      <c r="N7" s="334">
        <f>SUM(N3:N6)</f>
        <v>0</v>
      </c>
      <c r="O7" s="334">
        <f t="shared" ref="O7:Y7" si="5">SUM(O3:O6)</f>
        <v>0</v>
      </c>
      <c r="P7" s="334">
        <f t="shared" si="5"/>
        <v>0</v>
      </c>
      <c r="Q7" s="334">
        <f t="shared" si="5"/>
        <v>0</v>
      </c>
      <c r="R7" s="334">
        <f t="shared" si="5"/>
        <v>0</v>
      </c>
      <c r="S7" s="334">
        <f t="shared" si="5"/>
        <v>0</v>
      </c>
      <c r="T7" s="334">
        <f t="shared" si="5"/>
        <v>0</v>
      </c>
      <c r="U7" s="334">
        <f t="shared" si="5"/>
        <v>0</v>
      </c>
      <c r="V7" s="334">
        <f t="shared" si="5"/>
        <v>0</v>
      </c>
      <c r="W7" s="334">
        <f t="shared" si="5"/>
        <v>0</v>
      </c>
      <c r="X7" s="334">
        <f t="shared" si="5"/>
        <v>0</v>
      </c>
      <c r="Y7" s="334">
        <f t="shared" si="5"/>
        <v>0</v>
      </c>
    </row>
    <row r="8" spans="1:25" x14ac:dyDescent="0.2">
      <c r="A8" s="150" t="s">
        <v>440</v>
      </c>
      <c r="H8" s="334" t="str">
        <f>IF(ISBLANK(_Ped_Ent_Opm),"","verw")</f>
        <v/>
      </c>
    </row>
    <row r="9" spans="1:25" x14ac:dyDescent="0.2">
      <c r="A9" s="20"/>
    </row>
    <row r="10" spans="1:25" ht="15" x14ac:dyDescent="0.25">
      <c r="A10" s="832" t="s">
        <v>227</v>
      </c>
      <c r="B10" s="334">
        <f>_Glob_SpecialeVoeding_01</f>
        <v>0</v>
      </c>
    </row>
    <row r="11" spans="1:25" ht="15" x14ac:dyDescent="0.25">
      <c r="A11" s="832" t="s">
        <v>189</v>
      </c>
      <c r="B11" s="334">
        <f>_Glob_SpecialeVoeding_02</f>
        <v>0</v>
      </c>
    </row>
    <row r="12" spans="1:25" ht="15" x14ac:dyDescent="0.25">
      <c r="A12" s="832" t="s">
        <v>228</v>
      </c>
      <c r="B12" s="334">
        <f>_Glob_SpecialeVoeding_03</f>
        <v>0</v>
      </c>
    </row>
    <row r="13" spans="1:25" ht="15" x14ac:dyDescent="0.25">
      <c r="A13" s="832" t="s">
        <v>190</v>
      </c>
      <c r="B13" s="334">
        <f>_Glob_SpecialeVoeding_04</f>
        <v>0</v>
      </c>
    </row>
    <row r="14" spans="1:25" ht="15" x14ac:dyDescent="0.25">
      <c r="A14" s="832" t="s">
        <v>222</v>
      </c>
      <c r="B14" s="334">
        <f>_Glob_SpecialeVoeding_05</f>
        <v>0</v>
      </c>
    </row>
    <row r="15" spans="1:25" ht="15" x14ac:dyDescent="0.25">
      <c r="A15" s="832" t="s">
        <v>223</v>
      </c>
      <c r="B15" s="334">
        <f>_Glob_SpecialeVoeding_06</f>
        <v>0</v>
      </c>
    </row>
    <row r="16" spans="1:25" ht="15" x14ac:dyDescent="0.25">
      <c r="A16" s="832" t="s">
        <v>224</v>
      </c>
      <c r="B16" s="334">
        <f>_Glob_SpecialeVoeding_07</f>
        <v>0</v>
      </c>
    </row>
    <row r="17" spans="1:2" ht="15" x14ac:dyDescent="0.25">
      <c r="A17" s="832" t="s">
        <v>229</v>
      </c>
      <c r="B17" s="334">
        <f>_Glob_SpecialeVoeding_08</f>
        <v>0</v>
      </c>
    </row>
    <row r="18" spans="1:2" ht="15" x14ac:dyDescent="0.25">
      <c r="A18" s="832" t="s">
        <v>225</v>
      </c>
      <c r="B18" s="334">
        <f>_Glob_SpecialeVoeding_09</f>
        <v>0</v>
      </c>
    </row>
    <row r="19" spans="1:2" ht="15" x14ac:dyDescent="0.25">
      <c r="A19" s="832" t="s">
        <v>859</v>
      </c>
      <c r="B19" s="334">
        <f>_Glob_SpecialeVoeding_10</f>
        <v>0</v>
      </c>
    </row>
    <row r="20" spans="1:2" ht="15" x14ac:dyDescent="0.25">
      <c r="A20" s="832" t="s">
        <v>860</v>
      </c>
      <c r="B20" s="334">
        <f>_Glob_SpecialeVoeding_11</f>
        <v>0</v>
      </c>
    </row>
    <row r="21" spans="1:2" ht="15" x14ac:dyDescent="0.25">
      <c r="A21" s="832" t="s">
        <v>574</v>
      </c>
      <c r="B21" s="334">
        <f>_Glob_SpecialeVoeding_12</f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8" type="noConversion"/>
  <pageMargins left="0" right="0" top="0" bottom="0" header="0" footer="0"/>
  <pageSetup paperSize="9" orientation="landscape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G4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3" sqref="H3"/>
    </sheetView>
  </sheetViews>
  <sheetFormatPr defaultRowHeight="12.75" x14ac:dyDescent="0.2"/>
  <cols>
    <col min="1" max="1" width="16.42578125" customWidth="1"/>
    <col min="2" max="6" width="9.28515625" customWidth="1"/>
    <col min="7" max="7" width="14.5703125" customWidth="1"/>
    <col min="8" max="18" width="6.85546875" customWidth="1"/>
    <col min="20" max="20" width="5.140625" customWidth="1"/>
    <col min="21" max="32" width="8.140625" customWidth="1"/>
  </cols>
  <sheetData>
    <row r="1" spans="1:33" x14ac:dyDescent="0.2">
      <c r="A1" s="352"/>
      <c r="G1" s="311"/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U1" s="312" t="s">
        <v>5057</v>
      </c>
    </row>
    <row r="2" spans="1:33" ht="25.5" x14ac:dyDescent="0.2">
      <c r="B2" t="s">
        <v>234</v>
      </c>
      <c r="C2" t="s">
        <v>113</v>
      </c>
      <c r="D2" s="149" t="s">
        <v>4313</v>
      </c>
      <c r="E2" s="19" t="s">
        <v>108</v>
      </c>
      <c r="F2" t="s">
        <v>304</v>
      </c>
      <c r="G2" s="312" t="s">
        <v>453</v>
      </c>
      <c r="H2" t="s">
        <v>227</v>
      </c>
      <c r="I2" t="s">
        <v>189</v>
      </c>
      <c r="J2" t="s">
        <v>228</v>
      </c>
      <c r="K2" t="s">
        <v>190</v>
      </c>
      <c r="L2" t="s">
        <v>222</v>
      </c>
      <c r="M2" t="s">
        <v>223</v>
      </c>
      <c r="N2" t="s">
        <v>224</v>
      </c>
      <c r="O2" t="s">
        <v>229</v>
      </c>
      <c r="P2" t="s">
        <v>225</v>
      </c>
      <c r="Q2" t="s">
        <v>859</v>
      </c>
      <c r="R2" t="s">
        <v>860</v>
      </c>
      <c r="S2" t="s">
        <v>574</v>
      </c>
      <c r="U2" s="312" t="s">
        <v>182</v>
      </c>
      <c r="V2" t="s">
        <v>227</v>
      </c>
      <c r="W2" t="s">
        <v>189</v>
      </c>
      <c r="X2" t="s">
        <v>228</v>
      </c>
      <c r="Y2" t="s">
        <v>190</v>
      </c>
      <c r="Z2" t="s">
        <v>222</v>
      </c>
      <c r="AA2" t="s">
        <v>223</v>
      </c>
      <c r="AB2" t="s">
        <v>224</v>
      </c>
      <c r="AC2" t="s">
        <v>229</v>
      </c>
      <c r="AD2" t="s">
        <v>225</v>
      </c>
      <c r="AE2" t="s">
        <v>859</v>
      </c>
      <c r="AF2" t="s">
        <v>860</v>
      </c>
      <c r="AG2" t="s">
        <v>574</v>
      </c>
    </row>
    <row r="3" spans="1:33" x14ac:dyDescent="0.2">
      <c r="A3" t="s">
        <v>333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  <c r="G3" s="311"/>
      <c r="H3" s="311">
        <f t="shared" ref="H3:S12" si="0">IF($G3=0,0,VLOOKUP($G3,Tbl_Glob_ParEnt,H$1,FALSE))*$F3</f>
        <v>0</v>
      </c>
      <c r="I3" s="311">
        <f t="shared" si="0"/>
        <v>0</v>
      </c>
      <c r="J3" s="311">
        <f t="shared" si="0"/>
        <v>0</v>
      </c>
      <c r="K3" s="311">
        <f t="shared" si="0"/>
        <v>0</v>
      </c>
      <c r="L3" s="311">
        <f t="shared" si="0"/>
        <v>0</v>
      </c>
      <c r="M3" s="311">
        <f t="shared" si="0"/>
        <v>0</v>
      </c>
      <c r="N3" s="311">
        <f t="shared" si="0"/>
        <v>0</v>
      </c>
      <c r="O3" s="311">
        <f t="shared" si="0"/>
        <v>0</v>
      </c>
      <c r="P3" s="311">
        <f t="shared" si="0"/>
        <v>0</v>
      </c>
      <c r="Q3" s="311">
        <f t="shared" si="0"/>
        <v>0</v>
      </c>
      <c r="R3" s="311">
        <f t="shared" si="0"/>
        <v>0</v>
      </c>
      <c r="S3" s="311">
        <f t="shared" si="0"/>
        <v>0</v>
      </c>
      <c r="U3" s="311">
        <f t="shared" ref="U3:U22" si="1">IF(_Pat_Gewicht&gt;0,F3/(_Pat_Gewicht/10),0)</f>
        <v>0</v>
      </c>
      <c r="V3">
        <f t="shared" ref="V3:V22" si="2">IF(_Pat_Gewicht&gt;0,H3/(_Pat_Gewicht/10),0)</f>
        <v>0</v>
      </c>
      <c r="W3" s="311">
        <f t="shared" ref="W3:W22" si="3">IF(_Pat_Gewicht&gt;0,I3/(_Pat_Gewicht/10),0)</f>
        <v>0</v>
      </c>
      <c r="X3" s="311">
        <f t="shared" ref="X3:X22" si="4">IF(_Pat_Gewicht&gt;0,J3/(_Pat_Gewicht/10),0)</f>
        <v>0</v>
      </c>
      <c r="Y3" s="311">
        <f t="shared" ref="Y3:Y22" si="5">IF(_Pat_Gewicht&gt;0,K3/(_Pat_Gewicht/10),0)</f>
        <v>0</v>
      </c>
      <c r="Z3" s="311">
        <f t="shared" ref="Z3:Z22" si="6">IF(_Pat_Gewicht&gt;0,L3/(_Pat_Gewicht/10),0)</f>
        <v>0</v>
      </c>
      <c r="AA3" s="311">
        <f t="shared" ref="AA3:AA22" si="7">IF(_Pat_Gewicht&gt;0,M3/(_Pat_Gewicht/10),0)</f>
        <v>0</v>
      </c>
      <c r="AB3" s="311">
        <f t="shared" ref="AB3:AB22" si="8">IF(_Pat_Gewicht&gt;0,N3/(_Pat_Gewicht/10),0)</f>
        <v>0</v>
      </c>
      <c r="AC3" s="311">
        <f t="shared" ref="AC3:AC22" si="9">IF(_Pat_Gewicht&gt;0,O3/(_Pat_Gewicht/10),0)</f>
        <v>0</v>
      </c>
      <c r="AD3" s="311">
        <f t="shared" ref="AD3:AD22" si="10">IF(_Pat_Gewicht&gt;0,P3/(_Pat_Gewicht/10),0)</f>
        <v>0</v>
      </c>
      <c r="AE3" s="311">
        <f t="shared" ref="AE3:AE22" si="11">IF(_Pat_Gewicht&gt;0,Q3/(_Pat_Gewicht/10),0)</f>
        <v>0</v>
      </c>
      <c r="AF3" s="311">
        <f t="shared" ref="AF3:AF22" si="12">IF(_Pat_Gewicht&gt;0,R3/(_Pat_Gewicht/10),0)</f>
        <v>0</v>
      </c>
      <c r="AG3" s="311">
        <f t="shared" ref="AG3:AG22" si="13">IF(_Pat_Gewicht&gt;0,S3/(_Pat_Gewicht/10),0)</f>
        <v>0</v>
      </c>
    </row>
    <row r="4" spans="1:33" x14ac:dyDescent="0.2">
      <c r="A4" t="s">
        <v>226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 s="311">
        <f>INDEX(Tbl_Ped_TPN,B4,1)</f>
        <v>0</v>
      </c>
      <c r="H4" s="311">
        <f t="shared" si="0"/>
        <v>0</v>
      </c>
      <c r="I4" s="311">
        <f t="shared" si="0"/>
        <v>0</v>
      </c>
      <c r="J4" s="311">
        <f t="shared" si="0"/>
        <v>0</v>
      </c>
      <c r="K4" s="311">
        <f t="shared" si="0"/>
        <v>0</v>
      </c>
      <c r="L4" s="311">
        <f t="shared" si="0"/>
        <v>0</v>
      </c>
      <c r="M4" s="311">
        <f t="shared" si="0"/>
        <v>0</v>
      </c>
      <c r="N4" s="311">
        <f t="shared" si="0"/>
        <v>0</v>
      </c>
      <c r="O4" s="311">
        <f t="shared" si="0"/>
        <v>0</v>
      </c>
      <c r="P4" s="311">
        <f t="shared" si="0"/>
        <v>0</v>
      </c>
      <c r="Q4" s="311">
        <f t="shared" si="0"/>
        <v>0</v>
      </c>
      <c r="R4" s="311">
        <f t="shared" si="0"/>
        <v>0</v>
      </c>
      <c r="S4" s="311">
        <f t="shared" si="0"/>
        <v>0</v>
      </c>
      <c r="U4" s="311">
        <f t="shared" si="1"/>
        <v>0</v>
      </c>
      <c r="V4" s="311">
        <f t="shared" si="2"/>
        <v>0</v>
      </c>
      <c r="W4" s="311">
        <f t="shared" si="3"/>
        <v>0</v>
      </c>
      <c r="X4" s="311">
        <f t="shared" si="4"/>
        <v>0</v>
      </c>
      <c r="Y4" s="311">
        <f t="shared" si="5"/>
        <v>0</v>
      </c>
      <c r="Z4" s="311">
        <f t="shared" si="6"/>
        <v>0</v>
      </c>
      <c r="AA4" s="311">
        <f t="shared" si="7"/>
        <v>0</v>
      </c>
      <c r="AB4" s="311">
        <f t="shared" si="8"/>
        <v>0</v>
      </c>
      <c r="AC4" s="311">
        <f t="shared" si="9"/>
        <v>0</v>
      </c>
      <c r="AD4" s="311">
        <f t="shared" si="10"/>
        <v>0</v>
      </c>
      <c r="AE4" s="311">
        <f t="shared" si="11"/>
        <v>0</v>
      </c>
      <c r="AF4" s="311">
        <f t="shared" si="12"/>
        <v>0</v>
      </c>
      <c r="AG4" s="311">
        <f t="shared" si="13"/>
        <v>0</v>
      </c>
    </row>
    <row r="5" spans="1:33" x14ac:dyDescent="0.2">
      <c r="A5" t="s">
        <v>303</v>
      </c>
      <c r="E5">
        <v>0</v>
      </c>
      <c r="F5">
        <f>IF(AND(_Pat_Gewicht/10&gt;=16,_Ped_TPN_Keuze&gt;1,OR(_Ped_TPN_SST1Keuze&lt;11,_Pat_Gewicht/10&gt;50)),E5,0)</f>
        <v>0</v>
      </c>
      <c r="G5" s="311"/>
      <c r="H5" s="311">
        <f t="shared" si="0"/>
        <v>0</v>
      </c>
      <c r="I5" s="311">
        <f t="shared" si="0"/>
        <v>0</v>
      </c>
      <c r="J5" s="311">
        <f t="shared" si="0"/>
        <v>0</v>
      </c>
      <c r="K5" s="311">
        <f t="shared" si="0"/>
        <v>0</v>
      </c>
      <c r="L5" s="311">
        <f t="shared" si="0"/>
        <v>0</v>
      </c>
      <c r="M5" s="311">
        <f t="shared" si="0"/>
        <v>0</v>
      </c>
      <c r="N5" s="311">
        <f t="shared" si="0"/>
        <v>0</v>
      </c>
      <c r="O5" s="311">
        <f t="shared" si="0"/>
        <v>0</v>
      </c>
      <c r="P5" s="311">
        <f t="shared" si="0"/>
        <v>0</v>
      </c>
      <c r="Q5" s="311">
        <f t="shared" si="0"/>
        <v>0</v>
      </c>
      <c r="R5" s="311">
        <f t="shared" si="0"/>
        <v>0</v>
      </c>
      <c r="S5" s="311">
        <f t="shared" si="0"/>
        <v>0</v>
      </c>
      <c r="U5" s="311">
        <f t="shared" si="1"/>
        <v>0</v>
      </c>
      <c r="V5" s="311">
        <f t="shared" si="2"/>
        <v>0</v>
      </c>
      <c r="W5" s="311">
        <f t="shared" si="3"/>
        <v>0</v>
      </c>
      <c r="X5" s="311">
        <f t="shared" si="4"/>
        <v>0</v>
      </c>
      <c r="Y5" s="311">
        <f t="shared" si="5"/>
        <v>0</v>
      </c>
      <c r="Z5" s="311">
        <f t="shared" si="6"/>
        <v>0</v>
      </c>
      <c r="AA5" s="311">
        <f t="shared" si="7"/>
        <v>0</v>
      </c>
      <c r="AB5" s="311">
        <f t="shared" si="8"/>
        <v>0</v>
      </c>
      <c r="AC5" s="311">
        <f t="shared" si="9"/>
        <v>0</v>
      </c>
      <c r="AD5" s="311">
        <f t="shared" si="10"/>
        <v>0</v>
      </c>
      <c r="AE5" s="311">
        <f t="shared" si="11"/>
        <v>0</v>
      </c>
      <c r="AF5" s="311">
        <f t="shared" si="12"/>
        <v>0</v>
      </c>
      <c r="AG5" s="311">
        <f t="shared" si="13"/>
        <v>0</v>
      </c>
    </row>
    <row r="6" spans="1:33" x14ac:dyDescent="0.2">
      <c r="A6" s="352" t="s">
        <v>287</v>
      </c>
      <c r="B6">
        <v>1</v>
      </c>
      <c r="F6">
        <f>IF(_Pat_Gewicht/10&gt;50,F3-F7-F8-F9-F10,IF(OR(_Ped_TPN_Keuze=1,_Ped_TPN_SST1Keuze&gt;=11),F3-F7-F8-F9-F10,F3-F4-F5-F7-F8))</f>
        <v>0</v>
      </c>
      <c r="G6" s="311">
        <f>INDEX(Tbl_Ped_SST,B6,1)</f>
        <v>0</v>
      </c>
      <c r="H6" s="311">
        <f t="shared" si="0"/>
        <v>0</v>
      </c>
      <c r="I6" s="311">
        <f t="shared" si="0"/>
        <v>0</v>
      </c>
      <c r="J6" s="311">
        <f t="shared" si="0"/>
        <v>0</v>
      </c>
      <c r="K6" s="311">
        <f t="shared" si="0"/>
        <v>0</v>
      </c>
      <c r="L6" s="311">
        <f t="shared" si="0"/>
        <v>0</v>
      </c>
      <c r="M6" s="311">
        <f t="shared" si="0"/>
        <v>0</v>
      </c>
      <c r="N6" s="311">
        <f t="shared" si="0"/>
        <v>0</v>
      </c>
      <c r="O6" s="311">
        <f t="shared" si="0"/>
        <v>0</v>
      </c>
      <c r="P6" s="311">
        <f t="shared" si="0"/>
        <v>0</v>
      </c>
      <c r="Q6" s="311">
        <f t="shared" si="0"/>
        <v>0</v>
      </c>
      <c r="R6" s="311">
        <f t="shared" si="0"/>
        <v>0</v>
      </c>
      <c r="S6" s="311">
        <f t="shared" si="0"/>
        <v>0</v>
      </c>
      <c r="U6" s="311">
        <f t="shared" si="1"/>
        <v>0</v>
      </c>
      <c r="V6" s="311">
        <f t="shared" si="2"/>
        <v>0</v>
      </c>
      <c r="W6" s="311">
        <f t="shared" si="3"/>
        <v>0</v>
      </c>
      <c r="X6" s="311">
        <f t="shared" si="4"/>
        <v>0</v>
      </c>
      <c r="Y6" s="311">
        <f t="shared" si="5"/>
        <v>0</v>
      </c>
      <c r="Z6" s="311">
        <f t="shared" si="6"/>
        <v>0</v>
      </c>
      <c r="AA6" s="311">
        <f t="shared" si="7"/>
        <v>0</v>
      </c>
      <c r="AB6" s="311">
        <f t="shared" si="8"/>
        <v>0</v>
      </c>
      <c r="AC6" s="311">
        <f t="shared" si="9"/>
        <v>0</v>
      </c>
      <c r="AD6" s="311">
        <f t="shared" si="10"/>
        <v>0</v>
      </c>
      <c r="AE6" s="311">
        <f t="shared" si="11"/>
        <v>0</v>
      </c>
      <c r="AF6" s="311">
        <f t="shared" si="12"/>
        <v>0</v>
      </c>
      <c r="AG6" s="311">
        <f t="shared" si="13"/>
        <v>0</v>
      </c>
    </row>
    <row r="7" spans="1:33" x14ac:dyDescent="0.2">
      <c r="A7" t="s">
        <v>328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G7" s="311" t="str">
        <f>A7</f>
        <v>NaCl 2,9%</v>
      </c>
      <c r="H7" s="311">
        <f t="shared" si="0"/>
        <v>0</v>
      </c>
      <c r="I7" s="311">
        <f t="shared" si="0"/>
        <v>0</v>
      </c>
      <c r="J7" s="311">
        <f t="shared" si="0"/>
        <v>0</v>
      </c>
      <c r="K7" s="311">
        <f t="shared" si="0"/>
        <v>0</v>
      </c>
      <c r="L7" s="311">
        <f t="shared" si="0"/>
        <v>0</v>
      </c>
      <c r="M7" s="311">
        <f t="shared" si="0"/>
        <v>0</v>
      </c>
      <c r="N7" s="311">
        <f t="shared" si="0"/>
        <v>0</v>
      </c>
      <c r="O7" s="311">
        <f t="shared" si="0"/>
        <v>0</v>
      </c>
      <c r="P7" s="311">
        <f t="shared" si="0"/>
        <v>0</v>
      </c>
      <c r="Q7" s="311">
        <f t="shared" si="0"/>
        <v>0</v>
      </c>
      <c r="R7" s="311">
        <f t="shared" si="0"/>
        <v>0</v>
      </c>
      <c r="S7" s="311">
        <f t="shared" si="0"/>
        <v>0</v>
      </c>
      <c r="U7" s="311">
        <f t="shared" si="1"/>
        <v>0</v>
      </c>
      <c r="V7" s="311">
        <f t="shared" si="2"/>
        <v>0</v>
      </c>
      <c r="W7" s="311">
        <f t="shared" si="3"/>
        <v>0</v>
      </c>
      <c r="X7" s="311">
        <f t="shared" si="4"/>
        <v>0</v>
      </c>
      <c r="Y7" s="311">
        <f t="shared" si="5"/>
        <v>0</v>
      </c>
      <c r="Z7" s="311">
        <f t="shared" si="6"/>
        <v>0</v>
      </c>
      <c r="AA7" s="311">
        <f t="shared" si="7"/>
        <v>0</v>
      </c>
      <c r="AB7" s="311">
        <f t="shared" si="8"/>
        <v>0</v>
      </c>
      <c r="AC7" s="311">
        <f t="shared" si="9"/>
        <v>0</v>
      </c>
      <c r="AD7" s="311">
        <f t="shared" si="10"/>
        <v>0</v>
      </c>
      <c r="AE7" s="311">
        <f t="shared" si="11"/>
        <v>0</v>
      </c>
      <c r="AF7" s="311">
        <f t="shared" si="12"/>
        <v>0</v>
      </c>
      <c r="AG7" s="311">
        <f t="shared" si="13"/>
        <v>0</v>
      </c>
    </row>
    <row r="8" spans="1:33" x14ac:dyDescent="0.2">
      <c r="A8" t="s">
        <v>220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G8" s="311" t="str">
        <f t="shared" ref="G8:G11" si="14">A8</f>
        <v>KCl 7,4%</v>
      </c>
      <c r="H8" s="311">
        <f t="shared" si="0"/>
        <v>0</v>
      </c>
      <c r="I8" s="311">
        <f t="shared" si="0"/>
        <v>0</v>
      </c>
      <c r="J8" s="311">
        <f t="shared" si="0"/>
        <v>0</v>
      </c>
      <c r="K8" s="311">
        <f t="shared" si="0"/>
        <v>0</v>
      </c>
      <c r="L8" s="311">
        <f t="shared" si="0"/>
        <v>0</v>
      </c>
      <c r="M8" s="311">
        <f t="shared" si="0"/>
        <v>0</v>
      </c>
      <c r="N8" s="311">
        <f t="shared" si="0"/>
        <v>0</v>
      </c>
      <c r="O8" s="311">
        <f t="shared" si="0"/>
        <v>0</v>
      </c>
      <c r="P8" s="311">
        <f t="shared" si="0"/>
        <v>0</v>
      </c>
      <c r="Q8" s="311">
        <f t="shared" si="0"/>
        <v>0</v>
      </c>
      <c r="R8" s="311">
        <f t="shared" si="0"/>
        <v>0</v>
      </c>
      <c r="S8" s="311">
        <f t="shared" si="0"/>
        <v>0</v>
      </c>
      <c r="U8" s="311">
        <f t="shared" si="1"/>
        <v>0</v>
      </c>
      <c r="V8" s="311">
        <f t="shared" si="2"/>
        <v>0</v>
      </c>
      <c r="W8" s="311">
        <f t="shared" si="3"/>
        <v>0</v>
      </c>
      <c r="X8" s="311">
        <f t="shared" si="4"/>
        <v>0</v>
      </c>
      <c r="Y8" s="311">
        <f t="shared" si="5"/>
        <v>0</v>
      </c>
      <c r="Z8" s="311">
        <f t="shared" si="6"/>
        <v>0</v>
      </c>
      <c r="AA8" s="311">
        <f t="shared" si="7"/>
        <v>0</v>
      </c>
      <c r="AB8" s="311">
        <f t="shared" si="8"/>
        <v>0</v>
      </c>
      <c r="AC8" s="311">
        <f t="shared" si="9"/>
        <v>0</v>
      </c>
      <c r="AD8" s="311">
        <f t="shared" si="10"/>
        <v>0</v>
      </c>
      <c r="AE8" s="311">
        <f t="shared" si="11"/>
        <v>0</v>
      </c>
      <c r="AF8" s="311">
        <f t="shared" si="12"/>
        <v>0</v>
      </c>
      <c r="AG8" s="311">
        <f t="shared" si="13"/>
        <v>0</v>
      </c>
    </row>
    <row r="9" spans="1:33" x14ac:dyDescent="0.2">
      <c r="A9" t="s">
        <v>329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G9" s="311" t="str">
        <f t="shared" si="14"/>
        <v>CaGluc 10%</v>
      </c>
      <c r="H9" s="311">
        <f t="shared" si="0"/>
        <v>0</v>
      </c>
      <c r="I9" s="311">
        <f t="shared" si="0"/>
        <v>0</v>
      </c>
      <c r="J9" s="311">
        <f t="shared" si="0"/>
        <v>0</v>
      </c>
      <c r="K9" s="311">
        <f t="shared" si="0"/>
        <v>0</v>
      </c>
      <c r="L9" s="311">
        <f t="shared" si="0"/>
        <v>0</v>
      </c>
      <c r="M9" s="311">
        <f t="shared" si="0"/>
        <v>0</v>
      </c>
      <c r="N9" s="311">
        <f t="shared" si="0"/>
        <v>0</v>
      </c>
      <c r="O9" s="311">
        <f t="shared" si="0"/>
        <v>0</v>
      </c>
      <c r="P9" s="311">
        <f t="shared" si="0"/>
        <v>0</v>
      </c>
      <c r="Q9" s="311">
        <f t="shared" si="0"/>
        <v>0</v>
      </c>
      <c r="R9" s="311">
        <f t="shared" si="0"/>
        <v>0</v>
      </c>
      <c r="S9" s="311">
        <f t="shared" si="0"/>
        <v>0</v>
      </c>
      <c r="U9" s="311">
        <f t="shared" si="1"/>
        <v>0</v>
      </c>
      <c r="V9" s="311">
        <f t="shared" si="2"/>
        <v>0</v>
      </c>
      <c r="W9" s="311">
        <f t="shared" si="3"/>
        <v>0</v>
      </c>
      <c r="X9" s="311">
        <f t="shared" si="4"/>
        <v>0</v>
      </c>
      <c r="Y9" s="311">
        <f t="shared" si="5"/>
        <v>0</v>
      </c>
      <c r="Z9" s="311">
        <f t="shared" si="6"/>
        <v>0</v>
      </c>
      <c r="AA9" s="311">
        <f t="shared" si="7"/>
        <v>0</v>
      </c>
      <c r="AB9" s="311">
        <f t="shared" si="8"/>
        <v>0</v>
      </c>
      <c r="AC9" s="311">
        <f t="shared" si="9"/>
        <v>0</v>
      </c>
      <c r="AD9" s="311">
        <f t="shared" si="10"/>
        <v>0</v>
      </c>
      <c r="AE9" s="311">
        <f t="shared" si="11"/>
        <v>0</v>
      </c>
      <c r="AF9" s="311">
        <f t="shared" si="12"/>
        <v>0</v>
      </c>
      <c r="AG9" s="311">
        <f t="shared" si="13"/>
        <v>0</v>
      </c>
    </row>
    <row r="10" spans="1:33" x14ac:dyDescent="0.2">
      <c r="A10" t="s">
        <v>310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G10" s="311" t="str">
        <f t="shared" si="14"/>
        <v>MgCl 10%</v>
      </c>
      <c r="H10" s="311">
        <f t="shared" si="0"/>
        <v>0</v>
      </c>
      <c r="I10" s="311">
        <f t="shared" si="0"/>
        <v>0</v>
      </c>
      <c r="J10" s="311">
        <f t="shared" si="0"/>
        <v>0</v>
      </c>
      <c r="K10" s="311">
        <f t="shared" si="0"/>
        <v>0</v>
      </c>
      <c r="L10" s="311">
        <f t="shared" si="0"/>
        <v>0</v>
      </c>
      <c r="M10" s="311">
        <f t="shared" si="0"/>
        <v>0</v>
      </c>
      <c r="N10" s="311">
        <f t="shared" si="0"/>
        <v>0</v>
      </c>
      <c r="O10" s="311">
        <f t="shared" si="0"/>
        <v>0</v>
      </c>
      <c r="P10" s="311">
        <f t="shared" si="0"/>
        <v>0</v>
      </c>
      <c r="Q10" s="311">
        <f t="shared" si="0"/>
        <v>0</v>
      </c>
      <c r="R10" s="311">
        <f t="shared" si="0"/>
        <v>0</v>
      </c>
      <c r="S10" s="311">
        <f t="shared" si="0"/>
        <v>0</v>
      </c>
      <c r="U10" s="311">
        <f t="shared" si="1"/>
        <v>0</v>
      </c>
      <c r="V10" s="311">
        <f t="shared" si="2"/>
        <v>0</v>
      </c>
      <c r="W10" s="311">
        <f t="shared" si="3"/>
        <v>0</v>
      </c>
      <c r="X10" s="311">
        <f t="shared" si="4"/>
        <v>0</v>
      </c>
      <c r="Y10" s="311">
        <f t="shared" si="5"/>
        <v>0</v>
      </c>
      <c r="Z10" s="311">
        <f t="shared" si="6"/>
        <v>0</v>
      </c>
      <c r="AA10" s="311">
        <f t="shared" si="7"/>
        <v>0</v>
      </c>
      <c r="AB10" s="311">
        <f t="shared" si="8"/>
        <v>0</v>
      </c>
      <c r="AC10" s="311">
        <f t="shared" si="9"/>
        <v>0</v>
      </c>
      <c r="AD10" s="311">
        <f t="shared" si="10"/>
        <v>0</v>
      </c>
      <c r="AE10" s="311">
        <f t="shared" si="11"/>
        <v>0</v>
      </c>
      <c r="AF10" s="311">
        <f t="shared" si="12"/>
        <v>0</v>
      </c>
      <c r="AG10" s="311">
        <f t="shared" si="13"/>
        <v>0</v>
      </c>
    </row>
    <row r="11" spans="1:33" x14ac:dyDescent="0.2">
      <c r="A11" t="s">
        <v>308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G11" s="311" t="str">
        <f t="shared" si="14"/>
        <v>KNaFosfaat</v>
      </c>
      <c r="H11" s="311">
        <f t="shared" si="0"/>
        <v>0</v>
      </c>
      <c r="I11" s="311">
        <f t="shared" si="0"/>
        <v>0</v>
      </c>
      <c r="J11" s="311">
        <f t="shared" si="0"/>
        <v>0</v>
      </c>
      <c r="K11" s="311">
        <f t="shared" si="0"/>
        <v>0</v>
      </c>
      <c r="L11" s="311">
        <f t="shared" si="0"/>
        <v>0</v>
      </c>
      <c r="M11" s="311">
        <f t="shared" si="0"/>
        <v>0</v>
      </c>
      <c r="N11" s="311">
        <f t="shared" si="0"/>
        <v>0</v>
      </c>
      <c r="O11" s="311">
        <f t="shared" si="0"/>
        <v>0</v>
      </c>
      <c r="P11" s="311">
        <f t="shared" si="0"/>
        <v>0</v>
      </c>
      <c r="Q11" s="311">
        <f t="shared" si="0"/>
        <v>0</v>
      </c>
      <c r="R11" s="311">
        <f t="shared" si="0"/>
        <v>0</v>
      </c>
      <c r="S11" s="311">
        <f t="shared" si="0"/>
        <v>0</v>
      </c>
      <c r="U11" s="311">
        <f t="shared" si="1"/>
        <v>0</v>
      </c>
      <c r="V11" s="311">
        <f t="shared" si="2"/>
        <v>0</v>
      </c>
      <c r="W11" s="311">
        <f t="shared" si="3"/>
        <v>0</v>
      </c>
      <c r="X11" s="311">
        <f t="shared" si="4"/>
        <v>0</v>
      </c>
      <c r="Y11" s="311">
        <f t="shared" si="5"/>
        <v>0</v>
      </c>
      <c r="Z11" s="311">
        <f t="shared" si="6"/>
        <v>0</v>
      </c>
      <c r="AA11" s="311">
        <f t="shared" si="7"/>
        <v>0</v>
      </c>
      <c r="AB11" s="311">
        <f t="shared" si="8"/>
        <v>0</v>
      </c>
      <c r="AC11" s="311">
        <f t="shared" si="9"/>
        <v>0</v>
      </c>
      <c r="AD11" s="311">
        <f t="shared" si="10"/>
        <v>0</v>
      </c>
      <c r="AE11" s="311">
        <f t="shared" si="11"/>
        <v>0</v>
      </c>
      <c r="AF11" s="311">
        <f t="shared" si="12"/>
        <v>0</v>
      </c>
      <c r="AG11" s="311">
        <f t="shared" si="13"/>
        <v>0</v>
      </c>
    </row>
    <row r="12" spans="1:33" x14ac:dyDescent="0.2">
      <c r="A12" t="s">
        <v>191</v>
      </c>
      <c r="D12">
        <v>0</v>
      </c>
      <c r="E12">
        <f>ROUND(IF(D12&lt;50,D12/10,D12-45),1)</f>
        <v>0</v>
      </c>
      <c r="F12">
        <f>E12*24</f>
        <v>0</v>
      </c>
      <c r="G12" s="311"/>
      <c r="H12" s="311">
        <f t="shared" si="0"/>
        <v>0</v>
      </c>
      <c r="I12" s="311">
        <f t="shared" si="0"/>
        <v>0</v>
      </c>
      <c r="J12" s="311">
        <f t="shared" si="0"/>
        <v>0</v>
      </c>
      <c r="K12" s="311">
        <f t="shared" si="0"/>
        <v>0</v>
      </c>
      <c r="L12" s="311">
        <f t="shared" si="0"/>
        <v>0</v>
      </c>
      <c r="M12" s="311">
        <f t="shared" si="0"/>
        <v>0</v>
      </c>
      <c r="N12" s="311">
        <f t="shared" si="0"/>
        <v>0</v>
      </c>
      <c r="O12" s="311">
        <f t="shared" si="0"/>
        <v>0</v>
      </c>
      <c r="P12" s="311">
        <f t="shared" si="0"/>
        <v>0</v>
      </c>
      <c r="Q12" s="311">
        <f t="shared" si="0"/>
        <v>0</v>
      </c>
      <c r="R12" s="311">
        <f t="shared" si="0"/>
        <v>0</v>
      </c>
      <c r="S12" s="311">
        <f t="shared" si="0"/>
        <v>0</v>
      </c>
      <c r="U12" s="311">
        <f t="shared" si="1"/>
        <v>0</v>
      </c>
      <c r="V12" s="311">
        <f t="shared" si="2"/>
        <v>0</v>
      </c>
      <c r="W12" s="311">
        <f t="shared" si="3"/>
        <v>0</v>
      </c>
      <c r="X12" s="311">
        <f t="shared" si="4"/>
        <v>0</v>
      </c>
      <c r="Y12" s="311">
        <f t="shared" si="5"/>
        <v>0</v>
      </c>
      <c r="Z12" s="311">
        <f t="shared" si="6"/>
        <v>0</v>
      </c>
      <c r="AA12" s="311">
        <f t="shared" si="7"/>
        <v>0</v>
      </c>
      <c r="AB12" s="311">
        <f t="shared" si="8"/>
        <v>0</v>
      </c>
      <c r="AC12" s="311">
        <f t="shared" si="9"/>
        <v>0</v>
      </c>
      <c r="AD12" s="311">
        <f t="shared" si="10"/>
        <v>0</v>
      </c>
      <c r="AE12" s="311">
        <f t="shared" si="11"/>
        <v>0</v>
      </c>
      <c r="AF12" s="311">
        <f t="shared" si="12"/>
        <v>0</v>
      </c>
      <c r="AG12" s="311">
        <f t="shared" si="13"/>
        <v>0</v>
      </c>
    </row>
    <row r="13" spans="1:33" x14ac:dyDescent="0.2">
      <c r="A13" t="s">
        <v>192</v>
      </c>
      <c r="F13">
        <f>F12-F14-F15-F16</f>
        <v>0</v>
      </c>
      <c r="G13" s="311" t="str">
        <f>A13</f>
        <v>Intralipid 20%</v>
      </c>
      <c r="H13" s="311">
        <f t="shared" ref="H13:S22" si="15">IF($G13=0,0,VLOOKUP($G13,Tbl_Glob_ParEnt,H$1,FALSE))*$F13</f>
        <v>0</v>
      </c>
      <c r="I13" s="311">
        <f t="shared" si="15"/>
        <v>0</v>
      </c>
      <c r="J13" s="311">
        <f t="shared" si="15"/>
        <v>0</v>
      </c>
      <c r="K13" s="311">
        <f t="shared" si="15"/>
        <v>0</v>
      </c>
      <c r="L13" s="311">
        <f t="shared" si="15"/>
        <v>0</v>
      </c>
      <c r="M13" s="311">
        <f t="shared" si="15"/>
        <v>0</v>
      </c>
      <c r="N13" s="311">
        <f t="shared" si="15"/>
        <v>0</v>
      </c>
      <c r="O13" s="311">
        <f t="shared" si="15"/>
        <v>0</v>
      </c>
      <c r="P13" s="311">
        <f t="shared" si="15"/>
        <v>0</v>
      </c>
      <c r="Q13" s="311">
        <f t="shared" si="15"/>
        <v>0</v>
      </c>
      <c r="R13" s="311">
        <f t="shared" si="15"/>
        <v>0</v>
      </c>
      <c r="S13" s="311">
        <f t="shared" si="15"/>
        <v>0</v>
      </c>
      <c r="U13" s="311">
        <f t="shared" si="1"/>
        <v>0</v>
      </c>
      <c r="V13" s="311">
        <f t="shared" si="2"/>
        <v>0</v>
      </c>
      <c r="W13" s="311">
        <f t="shared" si="3"/>
        <v>0</v>
      </c>
      <c r="X13" s="311">
        <f t="shared" si="4"/>
        <v>0</v>
      </c>
      <c r="Y13" s="311">
        <f t="shared" si="5"/>
        <v>0</v>
      </c>
      <c r="Z13" s="311">
        <f t="shared" si="6"/>
        <v>0</v>
      </c>
      <c r="AA13" s="311">
        <f t="shared" si="7"/>
        <v>0</v>
      </c>
      <c r="AB13" s="311">
        <f t="shared" si="8"/>
        <v>0</v>
      </c>
      <c r="AC13" s="311">
        <f t="shared" si="9"/>
        <v>0</v>
      </c>
      <c r="AD13" s="311">
        <f t="shared" si="10"/>
        <v>0</v>
      </c>
      <c r="AE13" s="311">
        <f t="shared" si="11"/>
        <v>0</v>
      </c>
      <c r="AF13" s="311">
        <f t="shared" si="12"/>
        <v>0</v>
      </c>
      <c r="AG13" s="311">
        <f t="shared" si="13"/>
        <v>0</v>
      </c>
    </row>
    <row r="14" spans="1:33" x14ac:dyDescent="0.2">
      <c r="A14" t="s">
        <v>193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  <c r="G14" s="311"/>
      <c r="H14" s="311">
        <f t="shared" si="15"/>
        <v>0</v>
      </c>
      <c r="I14" s="311">
        <f t="shared" si="15"/>
        <v>0</v>
      </c>
      <c r="J14" s="311">
        <f t="shared" si="15"/>
        <v>0</v>
      </c>
      <c r="K14" s="311">
        <f t="shared" si="15"/>
        <v>0</v>
      </c>
      <c r="L14" s="311">
        <f t="shared" si="15"/>
        <v>0</v>
      </c>
      <c r="M14" s="311">
        <f t="shared" si="15"/>
        <v>0</v>
      </c>
      <c r="N14" s="311">
        <f t="shared" si="15"/>
        <v>0</v>
      </c>
      <c r="O14" s="311">
        <f t="shared" si="15"/>
        <v>0</v>
      </c>
      <c r="P14" s="311">
        <f t="shared" si="15"/>
        <v>0</v>
      </c>
      <c r="Q14" s="311">
        <f t="shared" si="15"/>
        <v>0</v>
      </c>
      <c r="R14" s="311">
        <f t="shared" si="15"/>
        <v>0</v>
      </c>
      <c r="S14" s="311">
        <f t="shared" si="15"/>
        <v>0</v>
      </c>
      <c r="U14" s="311">
        <f t="shared" si="1"/>
        <v>0</v>
      </c>
      <c r="V14" s="311">
        <f t="shared" si="2"/>
        <v>0</v>
      </c>
      <c r="W14" s="311">
        <f t="shared" si="3"/>
        <v>0</v>
      </c>
      <c r="X14" s="311">
        <f t="shared" si="4"/>
        <v>0</v>
      </c>
      <c r="Y14" s="311">
        <f t="shared" si="5"/>
        <v>0</v>
      </c>
      <c r="Z14" s="311">
        <f t="shared" si="6"/>
        <v>0</v>
      </c>
      <c r="AA14" s="311">
        <f t="shared" si="7"/>
        <v>0</v>
      </c>
      <c r="AB14" s="311">
        <f t="shared" si="8"/>
        <v>0</v>
      </c>
      <c r="AC14" s="311">
        <f t="shared" si="9"/>
        <v>0</v>
      </c>
      <c r="AD14" s="311">
        <f t="shared" si="10"/>
        <v>0</v>
      </c>
      <c r="AE14" s="311">
        <f t="shared" si="11"/>
        <v>0</v>
      </c>
      <c r="AF14" s="311">
        <f t="shared" si="12"/>
        <v>0</v>
      </c>
      <c r="AG14" s="311">
        <f t="shared" si="13"/>
        <v>0</v>
      </c>
    </row>
    <row r="15" spans="1:33" x14ac:dyDescent="0.2">
      <c r="A15" t="s">
        <v>194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  <c r="G15" s="311" t="str">
        <f t="shared" ref="G15" si="16">A15</f>
        <v>Soluvit</v>
      </c>
      <c r="H15" s="311">
        <f t="shared" si="15"/>
        <v>0</v>
      </c>
      <c r="I15" s="311">
        <f t="shared" si="15"/>
        <v>0</v>
      </c>
      <c r="J15" s="311">
        <f t="shared" si="15"/>
        <v>0</v>
      </c>
      <c r="K15" s="311">
        <f t="shared" si="15"/>
        <v>0</v>
      </c>
      <c r="L15" s="311">
        <f t="shared" si="15"/>
        <v>0</v>
      </c>
      <c r="M15" s="311">
        <f t="shared" si="15"/>
        <v>0</v>
      </c>
      <c r="N15" s="311">
        <f t="shared" si="15"/>
        <v>0</v>
      </c>
      <c r="O15" s="311">
        <f t="shared" si="15"/>
        <v>0</v>
      </c>
      <c r="P15" s="311">
        <f t="shared" si="15"/>
        <v>0</v>
      </c>
      <c r="Q15" s="311">
        <f t="shared" si="15"/>
        <v>0</v>
      </c>
      <c r="R15" s="311">
        <f t="shared" si="15"/>
        <v>0</v>
      </c>
      <c r="S15" s="311">
        <f t="shared" si="15"/>
        <v>0</v>
      </c>
      <c r="U15" s="311">
        <f t="shared" si="1"/>
        <v>0</v>
      </c>
      <c r="V15" s="311">
        <f t="shared" si="2"/>
        <v>0</v>
      </c>
      <c r="W15" s="311">
        <f t="shared" si="3"/>
        <v>0</v>
      </c>
      <c r="X15" s="311">
        <f t="shared" si="4"/>
        <v>0</v>
      </c>
      <c r="Y15" s="311">
        <f t="shared" si="5"/>
        <v>0</v>
      </c>
      <c r="Z15" s="311">
        <f t="shared" si="6"/>
        <v>0</v>
      </c>
      <c r="AA15" s="311">
        <f t="shared" si="7"/>
        <v>0</v>
      </c>
      <c r="AB15" s="311">
        <f t="shared" si="8"/>
        <v>0</v>
      </c>
      <c r="AC15" s="311">
        <f t="shared" si="9"/>
        <v>0</v>
      </c>
      <c r="AD15" s="311">
        <f t="shared" si="10"/>
        <v>0</v>
      </c>
      <c r="AE15" s="311">
        <f t="shared" si="11"/>
        <v>0</v>
      </c>
      <c r="AF15" s="311">
        <f t="shared" si="12"/>
        <v>0</v>
      </c>
      <c r="AG15" s="311">
        <f t="shared" si="13"/>
        <v>0</v>
      </c>
    </row>
    <row r="16" spans="1:33" s="311" customFormat="1" x14ac:dyDescent="0.2">
      <c r="A16" s="312" t="s">
        <v>994</v>
      </c>
      <c r="C16" s="311">
        <v>0</v>
      </c>
      <c r="D16" s="311">
        <f>IF(E16&lt;50,E16/10,E16-45)</f>
        <v>4.9000000000000004</v>
      </c>
      <c r="E16" s="311">
        <v>49</v>
      </c>
      <c r="F16" s="311">
        <f>IF(C16,D16,0)</f>
        <v>0</v>
      </c>
      <c r="H16" s="311">
        <f t="shared" si="15"/>
        <v>0</v>
      </c>
      <c r="I16" s="311">
        <f t="shared" si="15"/>
        <v>0</v>
      </c>
      <c r="J16" s="311">
        <f t="shared" si="15"/>
        <v>0</v>
      </c>
      <c r="K16" s="311">
        <f t="shared" si="15"/>
        <v>0</v>
      </c>
      <c r="L16" s="311">
        <f t="shared" si="15"/>
        <v>0</v>
      </c>
      <c r="M16" s="311">
        <f t="shared" si="15"/>
        <v>0</v>
      </c>
      <c r="N16" s="311">
        <f t="shared" si="15"/>
        <v>0</v>
      </c>
      <c r="O16" s="311">
        <f t="shared" si="15"/>
        <v>0</v>
      </c>
      <c r="P16" s="311">
        <f t="shared" si="15"/>
        <v>0</v>
      </c>
      <c r="Q16" s="311">
        <f t="shared" si="15"/>
        <v>0</v>
      </c>
      <c r="R16" s="311">
        <f t="shared" si="15"/>
        <v>0</v>
      </c>
      <c r="S16" s="311">
        <f t="shared" si="15"/>
        <v>0</v>
      </c>
      <c r="U16" s="311">
        <f t="shared" si="1"/>
        <v>0</v>
      </c>
      <c r="V16" s="311">
        <f t="shared" si="2"/>
        <v>0</v>
      </c>
      <c r="W16" s="311">
        <f t="shared" si="3"/>
        <v>0</v>
      </c>
      <c r="X16" s="311">
        <f t="shared" si="4"/>
        <v>0</v>
      </c>
      <c r="Y16" s="311">
        <f t="shared" si="5"/>
        <v>0</v>
      </c>
      <c r="Z16" s="311">
        <f t="shared" si="6"/>
        <v>0</v>
      </c>
      <c r="AA16" s="311">
        <f t="shared" si="7"/>
        <v>0</v>
      </c>
      <c r="AB16" s="311">
        <f t="shared" si="8"/>
        <v>0</v>
      </c>
      <c r="AC16" s="311">
        <f t="shared" si="9"/>
        <v>0</v>
      </c>
      <c r="AD16" s="311">
        <f t="shared" si="10"/>
        <v>0</v>
      </c>
      <c r="AE16" s="311">
        <f t="shared" si="11"/>
        <v>0</v>
      </c>
      <c r="AF16" s="311">
        <f t="shared" si="12"/>
        <v>0</v>
      </c>
      <c r="AG16" s="311">
        <f t="shared" si="13"/>
        <v>0</v>
      </c>
    </row>
    <row r="17" spans="1:33" x14ac:dyDescent="0.2">
      <c r="A17" t="s">
        <v>153</v>
      </c>
      <c r="F17">
        <f>IF(AND(_Ped_TPN_Keuze=2,_Pat_Gewicht/10&lt;=50,_Ped_TPN_SST1Keuze&lt;11),ROUND((F9*4+F10*4)/10,0)*10,IF(AND(_Ped_TPN_Keuze=2,_Pat_Gewicht/10&gt;50),100,0))</f>
        <v>0</v>
      </c>
      <c r="G17" s="312" t="s">
        <v>578</v>
      </c>
      <c r="H17" s="311">
        <f t="shared" si="15"/>
        <v>0</v>
      </c>
      <c r="I17" s="311">
        <f t="shared" si="15"/>
        <v>0</v>
      </c>
      <c r="J17" s="311">
        <f t="shared" si="15"/>
        <v>0</v>
      </c>
      <c r="K17" s="311">
        <f t="shared" si="15"/>
        <v>0</v>
      </c>
      <c r="L17" s="311">
        <f t="shared" si="15"/>
        <v>0</v>
      </c>
      <c r="M17" s="311">
        <f t="shared" si="15"/>
        <v>0</v>
      </c>
      <c r="N17" s="311">
        <f t="shared" si="15"/>
        <v>0</v>
      </c>
      <c r="O17" s="311">
        <f t="shared" si="15"/>
        <v>0</v>
      </c>
      <c r="P17" s="311">
        <f t="shared" si="15"/>
        <v>0</v>
      </c>
      <c r="Q17" s="311">
        <f t="shared" si="15"/>
        <v>0</v>
      </c>
      <c r="R17" s="311">
        <f t="shared" si="15"/>
        <v>0</v>
      </c>
      <c r="S17" s="311">
        <f t="shared" si="15"/>
        <v>0</v>
      </c>
      <c r="U17" s="311">
        <f t="shared" si="1"/>
        <v>0</v>
      </c>
      <c r="V17" s="311">
        <f t="shared" si="2"/>
        <v>0</v>
      </c>
      <c r="W17" s="311">
        <f t="shared" si="3"/>
        <v>0</v>
      </c>
      <c r="X17" s="311">
        <f t="shared" si="4"/>
        <v>0</v>
      </c>
      <c r="Y17" s="311">
        <f t="shared" si="5"/>
        <v>0</v>
      </c>
      <c r="Z17" s="311">
        <f t="shared" si="6"/>
        <v>0</v>
      </c>
      <c r="AA17" s="311">
        <f t="shared" si="7"/>
        <v>0</v>
      </c>
      <c r="AB17" s="311">
        <f t="shared" si="8"/>
        <v>0</v>
      </c>
      <c r="AC17" s="311">
        <f t="shared" si="9"/>
        <v>0</v>
      </c>
      <c r="AD17" s="311">
        <f t="shared" si="10"/>
        <v>0</v>
      </c>
      <c r="AE17" s="311">
        <f t="shared" si="11"/>
        <v>0</v>
      </c>
      <c r="AF17" s="311">
        <f t="shared" si="12"/>
        <v>0</v>
      </c>
      <c r="AG17" s="311">
        <f t="shared" si="13"/>
        <v>0</v>
      </c>
    </row>
    <row r="18" spans="1:33" x14ac:dyDescent="0.2">
      <c r="A18" t="s">
        <v>109</v>
      </c>
      <c r="F18">
        <f>IF(_Pat_Gewicht&gt;0,(ROUND(PedBerTPN!F11*1.5/(_Pat_Gewicht/10)/24/0.01,1)*24-PedBerTPN!F11),0)</f>
        <v>0</v>
      </c>
      <c r="G18" s="312" t="s">
        <v>579</v>
      </c>
      <c r="H18" s="311">
        <f t="shared" si="15"/>
        <v>0</v>
      </c>
      <c r="I18" s="311">
        <f t="shared" si="15"/>
        <v>0</v>
      </c>
      <c r="J18" s="311">
        <f t="shared" si="15"/>
        <v>0</v>
      </c>
      <c r="K18" s="311">
        <f t="shared" si="15"/>
        <v>0</v>
      </c>
      <c r="L18" s="311">
        <f t="shared" si="15"/>
        <v>0</v>
      </c>
      <c r="M18" s="311">
        <f t="shared" si="15"/>
        <v>0</v>
      </c>
      <c r="N18" s="311">
        <f t="shared" si="15"/>
        <v>0</v>
      </c>
      <c r="O18" s="311">
        <f t="shared" si="15"/>
        <v>0</v>
      </c>
      <c r="P18" s="311">
        <f t="shared" si="15"/>
        <v>0</v>
      </c>
      <c r="Q18" s="311">
        <f t="shared" si="15"/>
        <v>0</v>
      </c>
      <c r="R18" s="311">
        <f t="shared" si="15"/>
        <v>0</v>
      </c>
      <c r="S18" s="311">
        <f t="shared" si="15"/>
        <v>0</v>
      </c>
      <c r="U18" s="311">
        <f t="shared" si="1"/>
        <v>0</v>
      </c>
      <c r="V18" s="311">
        <f t="shared" si="2"/>
        <v>0</v>
      </c>
      <c r="W18" s="311">
        <f t="shared" si="3"/>
        <v>0</v>
      </c>
      <c r="X18" s="311">
        <f t="shared" si="4"/>
        <v>0</v>
      </c>
      <c r="Y18" s="311">
        <f t="shared" si="5"/>
        <v>0</v>
      </c>
      <c r="Z18" s="311">
        <f t="shared" si="6"/>
        <v>0</v>
      </c>
      <c r="AA18" s="311">
        <f t="shared" si="7"/>
        <v>0</v>
      </c>
      <c r="AB18" s="311">
        <f t="shared" si="8"/>
        <v>0</v>
      </c>
      <c r="AC18" s="311">
        <f t="shared" si="9"/>
        <v>0</v>
      </c>
      <c r="AD18" s="311">
        <f t="shared" si="10"/>
        <v>0</v>
      </c>
      <c r="AE18" s="311">
        <f t="shared" si="11"/>
        <v>0</v>
      </c>
      <c r="AF18" s="311">
        <f t="shared" si="12"/>
        <v>0</v>
      </c>
      <c r="AG18" s="311">
        <f t="shared" si="13"/>
        <v>0</v>
      </c>
    </row>
    <row r="19" spans="1:33" x14ac:dyDescent="0.2">
      <c r="A19" t="s">
        <v>334</v>
      </c>
      <c r="D19">
        <v>0</v>
      </c>
      <c r="E19">
        <f>IF(D19&lt;50,D19/10,D19-45)</f>
        <v>0</v>
      </c>
      <c r="F19">
        <f>E19*24</f>
        <v>0</v>
      </c>
      <c r="G19" s="311"/>
      <c r="H19" s="311">
        <f t="shared" si="15"/>
        <v>0</v>
      </c>
      <c r="I19" s="311">
        <f t="shared" si="15"/>
        <v>0</v>
      </c>
      <c r="J19" s="311">
        <f t="shared" si="15"/>
        <v>0</v>
      </c>
      <c r="K19" s="311">
        <f t="shared" si="15"/>
        <v>0</v>
      </c>
      <c r="L19" s="311">
        <f t="shared" si="15"/>
        <v>0</v>
      </c>
      <c r="M19" s="311">
        <f t="shared" si="15"/>
        <v>0</v>
      </c>
      <c r="N19" s="311">
        <f t="shared" si="15"/>
        <v>0</v>
      </c>
      <c r="O19" s="311">
        <f t="shared" si="15"/>
        <v>0</v>
      </c>
      <c r="P19" s="311">
        <f t="shared" si="15"/>
        <v>0</v>
      </c>
      <c r="Q19" s="311">
        <f t="shared" si="15"/>
        <v>0</v>
      </c>
      <c r="R19" s="311">
        <f t="shared" si="15"/>
        <v>0</v>
      </c>
      <c r="S19" s="311">
        <f t="shared" si="15"/>
        <v>0</v>
      </c>
      <c r="U19" s="311">
        <f t="shared" si="1"/>
        <v>0</v>
      </c>
      <c r="V19" s="311">
        <f t="shared" si="2"/>
        <v>0</v>
      </c>
      <c r="W19" s="311">
        <f t="shared" si="3"/>
        <v>0</v>
      </c>
      <c r="X19" s="311">
        <f t="shared" si="4"/>
        <v>0</v>
      </c>
      <c r="Y19" s="311">
        <f t="shared" si="5"/>
        <v>0</v>
      </c>
      <c r="Z19" s="311">
        <f t="shared" si="6"/>
        <v>0</v>
      </c>
      <c r="AA19" s="311">
        <f t="shared" si="7"/>
        <v>0</v>
      </c>
      <c r="AB19" s="311">
        <f t="shared" si="8"/>
        <v>0</v>
      </c>
      <c r="AC19" s="311">
        <f t="shared" si="9"/>
        <v>0</v>
      </c>
      <c r="AD19" s="311">
        <f t="shared" si="10"/>
        <v>0</v>
      </c>
      <c r="AE19" s="311">
        <f t="shared" si="11"/>
        <v>0</v>
      </c>
      <c r="AF19" s="311">
        <f t="shared" si="12"/>
        <v>0</v>
      </c>
      <c r="AG19" s="311">
        <f t="shared" si="13"/>
        <v>0</v>
      </c>
    </row>
    <row r="20" spans="1:33" x14ac:dyDescent="0.2">
      <c r="A20" t="s">
        <v>287</v>
      </c>
      <c r="B20">
        <v>1</v>
      </c>
      <c r="F20">
        <f>IF(F19-F21-F22&lt;0,0,F19-F21-F22)</f>
        <v>0</v>
      </c>
      <c r="G20" s="311">
        <f>INDEX(Tbl_Ped_SST,B20,1)</f>
        <v>0</v>
      </c>
      <c r="H20" s="311">
        <f t="shared" si="15"/>
        <v>0</v>
      </c>
      <c r="I20" s="311">
        <f t="shared" si="15"/>
        <v>0</v>
      </c>
      <c r="J20" s="311">
        <f t="shared" si="15"/>
        <v>0</v>
      </c>
      <c r="K20" s="311">
        <f t="shared" si="15"/>
        <v>0</v>
      </c>
      <c r="L20" s="311">
        <f t="shared" si="15"/>
        <v>0</v>
      </c>
      <c r="M20" s="311">
        <f t="shared" si="15"/>
        <v>0</v>
      </c>
      <c r="N20" s="311">
        <f t="shared" si="15"/>
        <v>0</v>
      </c>
      <c r="O20" s="311">
        <f t="shared" si="15"/>
        <v>0</v>
      </c>
      <c r="P20" s="311">
        <f t="shared" si="15"/>
        <v>0</v>
      </c>
      <c r="Q20" s="311">
        <f t="shared" si="15"/>
        <v>0</v>
      </c>
      <c r="R20" s="311">
        <f t="shared" si="15"/>
        <v>0</v>
      </c>
      <c r="S20" s="311">
        <f t="shared" si="15"/>
        <v>0</v>
      </c>
      <c r="U20" s="311">
        <f t="shared" si="1"/>
        <v>0</v>
      </c>
      <c r="V20" s="311">
        <f t="shared" si="2"/>
        <v>0</v>
      </c>
      <c r="W20" s="311">
        <f t="shared" si="3"/>
        <v>0</v>
      </c>
      <c r="X20" s="311">
        <f t="shared" si="4"/>
        <v>0</v>
      </c>
      <c r="Y20" s="311">
        <f t="shared" si="5"/>
        <v>0</v>
      </c>
      <c r="Z20" s="311">
        <f t="shared" si="6"/>
        <v>0</v>
      </c>
      <c r="AA20" s="311">
        <f t="shared" si="7"/>
        <v>0</v>
      </c>
      <c r="AB20" s="311">
        <f t="shared" si="8"/>
        <v>0</v>
      </c>
      <c r="AC20" s="311">
        <f t="shared" si="9"/>
        <v>0</v>
      </c>
      <c r="AD20" s="311">
        <f t="shared" si="10"/>
        <v>0</v>
      </c>
      <c r="AE20" s="311">
        <f t="shared" si="11"/>
        <v>0</v>
      </c>
      <c r="AF20" s="311">
        <f t="shared" si="12"/>
        <v>0</v>
      </c>
      <c r="AG20" s="311">
        <f t="shared" si="13"/>
        <v>0</v>
      </c>
    </row>
    <row r="21" spans="1:33" x14ac:dyDescent="0.2">
      <c r="A21" t="s">
        <v>328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G21" s="311" t="str">
        <f>A21</f>
        <v>NaCl 2,9%</v>
      </c>
      <c r="H21" s="311">
        <f t="shared" si="15"/>
        <v>0</v>
      </c>
      <c r="I21" s="311">
        <f t="shared" si="15"/>
        <v>0</v>
      </c>
      <c r="J21" s="311">
        <f t="shared" si="15"/>
        <v>0</v>
      </c>
      <c r="K21" s="311">
        <f t="shared" si="15"/>
        <v>0</v>
      </c>
      <c r="L21" s="311">
        <f t="shared" si="15"/>
        <v>0</v>
      </c>
      <c r="M21" s="311">
        <f t="shared" si="15"/>
        <v>0</v>
      </c>
      <c r="N21" s="311">
        <f t="shared" si="15"/>
        <v>0</v>
      </c>
      <c r="O21" s="311">
        <f t="shared" si="15"/>
        <v>0</v>
      </c>
      <c r="P21" s="311">
        <f t="shared" si="15"/>
        <v>0</v>
      </c>
      <c r="Q21" s="311">
        <f t="shared" si="15"/>
        <v>0</v>
      </c>
      <c r="R21" s="311">
        <f t="shared" si="15"/>
        <v>0</v>
      </c>
      <c r="S21" s="311">
        <f t="shared" si="15"/>
        <v>0</v>
      </c>
      <c r="U21" s="311">
        <f t="shared" si="1"/>
        <v>0</v>
      </c>
      <c r="V21" s="311">
        <f t="shared" si="2"/>
        <v>0</v>
      </c>
      <c r="W21" s="311">
        <f t="shared" si="3"/>
        <v>0</v>
      </c>
      <c r="X21" s="311">
        <f t="shared" si="4"/>
        <v>0</v>
      </c>
      <c r="Y21" s="311">
        <f t="shared" si="5"/>
        <v>0</v>
      </c>
      <c r="Z21" s="311">
        <f t="shared" si="6"/>
        <v>0</v>
      </c>
      <c r="AA21" s="311">
        <f t="shared" si="7"/>
        <v>0</v>
      </c>
      <c r="AB21" s="311">
        <f t="shared" si="8"/>
        <v>0</v>
      </c>
      <c r="AC21" s="311">
        <f t="shared" si="9"/>
        <v>0</v>
      </c>
      <c r="AD21" s="311">
        <f t="shared" si="10"/>
        <v>0</v>
      </c>
      <c r="AE21" s="311">
        <f t="shared" si="11"/>
        <v>0</v>
      </c>
      <c r="AF21" s="311">
        <f t="shared" si="12"/>
        <v>0</v>
      </c>
      <c r="AG21" s="311">
        <f t="shared" si="13"/>
        <v>0</v>
      </c>
    </row>
    <row r="22" spans="1:33" x14ac:dyDescent="0.2">
      <c r="A22" t="s">
        <v>220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G22" s="311" t="str">
        <f>A22</f>
        <v>KCl 7,4%</v>
      </c>
      <c r="H22" s="311">
        <f t="shared" si="15"/>
        <v>0</v>
      </c>
      <c r="I22" s="311">
        <f t="shared" si="15"/>
        <v>0</v>
      </c>
      <c r="J22" s="311">
        <f t="shared" si="15"/>
        <v>0</v>
      </c>
      <c r="K22" s="311">
        <f t="shared" si="15"/>
        <v>0</v>
      </c>
      <c r="L22" s="311">
        <f t="shared" si="15"/>
        <v>0</v>
      </c>
      <c r="M22" s="311">
        <f t="shared" si="15"/>
        <v>0</v>
      </c>
      <c r="N22" s="311">
        <f t="shared" si="15"/>
        <v>0</v>
      </c>
      <c r="O22" s="311">
        <f t="shared" si="15"/>
        <v>0</v>
      </c>
      <c r="P22" s="311">
        <f t="shared" si="15"/>
        <v>0</v>
      </c>
      <c r="Q22" s="311">
        <f t="shared" si="15"/>
        <v>0</v>
      </c>
      <c r="R22" s="311">
        <f t="shared" si="15"/>
        <v>0</v>
      </c>
      <c r="S22" s="311">
        <f t="shared" si="15"/>
        <v>0</v>
      </c>
      <c r="U22" s="311">
        <f t="shared" si="1"/>
        <v>0</v>
      </c>
      <c r="V22" s="311">
        <f t="shared" si="2"/>
        <v>0</v>
      </c>
      <c r="W22" s="311">
        <f t="shared" si="3"/>
        <v>0</v>
      </c>
      <c r="X22" s="311">
        <f t="shared" si="4"/>
        <v>0</v>
      </c>
      <c r="Y22" s="311">
        <f t="shared" si="5"/>
        <v>0</v>
      </c>
      <c r="Z22" s="311">
        <f t="shared" si="6"/>
        <v>0</v>
      </c>
      <c r="AA22" s="311">
        <f t="shared" si="7"/>
        <v>0</v>
      </c>
      <c r="AB22" s="311">
        <f t="shared" si="8"/>
        <v>0</v>
      </c>
      <c r="AC22" s="311">
        <f t="shared" si="9"/>
        <v>0</v>
      </c>
      <c r="AD22" s="311">
        <f t="shared" si="10"/>
        <v>0</v>
      </c>
      <c r="AE22" s="311">
        <f t="shared" si="11"/>
        <v>0</v>
      </c>
      <c r="AF22" s="311">
        <f t="shared" si="12"/>
        <v>0</v>
      </c>
      <c r="AG22" s="311">
        <f t="shared" si="13"/>
        <v>0</v>
      </c>
    </row>
    <row r="24" spans="1:33" x14ac:dyDescent="0.2">
      <c r="A24" t="s">
        <v>111</v>
      </c>
      <c r="F24">
        <f>IF(_Pat_Gewicht/10&gt;50,SUM(F3+F4+F12+F18+F17+F19),IF(_Ped_TPN_Keuze=1,SUM(F3+F12+F17+F18+F19),SUM(F3+F9+F10+F12+F17+F18+F19)))</f>
        <v>0</v>
      </c>
      <c r="H24">
        <f t="shared" ref="H24:AG24" si="17">SUM(I3:I22)</f>
        <v>0</v>
      </c>
      <c r="I24" s="311">
        <f t="shared" si="17"/>
        <v>0</v>
      </c>
      <c r="J24" s="311">
        <f t="shared" si="17"/>
        <v>0</v>
      </c>
      <c r="K24" s="311">
        <f t="shared" si="17"/>
        <v>0</v>
      </c>
      <c r="L24" s="311">
        <f t="shared" si="17"/>
        <v>0</v>
      </c>
      <c r="M24" s="311">
        <f t="shared" si="17"/>
        <v>0</v>
      </c>
      <c r="N24" s="311">
        <f t="shared" si="17"/>
        <v>0</v>
      </c>
      <c r="O24" s="311">
        <f t="shared" si="17"/>
        <v>0</v>
      </c>
      <c r="P24" s="311">
        <f t="shared" si="17"/>
        <v>0</v>
      </c>
      <c r="Q24" s="311">
        <f t="shared" si="17"/>
        <v>0</v>
      </c>
      <c r="R24" s="311">
        <f t="shared" si="17"/>
        <v>0</v>
      </c>
      <c r="S24" s="311">
        <f t="shared" si="17"/>
        <v>0</v>
      </c>
      <c r="U24" s="311">
        <f t="shared" si="17"/>
        <v>0</v>
      </c>
      <c r="V24" s="311">
        <f t="shared" si="17"/>
        <v>0</v>
      </c>
      <c r="W24" s="311">
        <f t="shared" si="17"/>
        <v>0</v>
      </c>
      <c r="X24" s="311">
        <f t="shared" si="17"/>
        <v>0</v>
      </c>
      <c r="Y24" s="311">
        <f t="shared" si="17"/>
        <v>0</v>
      </c>
      <c r="Z24" s="311">
        <f t="shared" si="17"/>
        <v>0</v>
      </c>
      <c r="AA24" s="311">
        <f t="shared" si="17"/>
        <v>0</v>
      </c>
      <c r="AB24" s="311">
        <f t="shared" si="17"/>
        <v>0</v>
      </c>
      <c r="AC24" s="311">
        <f t="shared" si="17"/>
        <v>0</v>
      </c>
      <c r="AD24" s="311">
        <f t="shared" si="17"/>
        <v>0</v>
      </c>
      <c r="AE24" s="311">
        <f t="shared" si="17"/>
        <v>0</v>
      </c>
      <c r="AF24" s="311">
        <f t="shared" si="17"/>
        <v>0</v>
      </c>
      <c r="AG24" s="311">
        <f t="shared" si="17"/>
        <v>0</v>
      </c>
    </row>
    <row r="25" spans="1:33" x14ac:dyDescent="0.2">
      <c r="A25" s="839"/>
      <c r="B25" s="839"/>
      <c r="C25" s="839"/>
      <c r="D25" s="839"/>
      <c r="E25" s="839"/>
      <c r="F25" s="839"/>
      <c r="G25" s="839"/>
      <c r="H25" s="839"/>
      <c r="I25" s="839"/>
      <c r="J25" s="839"/>
      <c r="K25" s="839"/>
      <c r="L25" s="839"/>
      <c r="M25" s="839"/>
      <c r="N25" s="839"/>
      <c r="O25" s="839"/>
      <c r="P25" s="839"/>
      <c r="Q25" s="839"/>
    </row>
    <row r="26" spans="1:33" x14ac:dyDescent="0.2">
      <c r="A26" s="833"/>
      <c r="B26" s="833"/>
      <c r="C26" s="833"/>
      <c r="D26" s="833"/>
      <c r="E26" s="833"/>
      <c r="F26" s="833"/>
      <c r="G26" s="833"/>
      <c r="H26" s="833"/>
      <c r="I26" s="833"/>
      <c r="J26" s="839"/>
      <c r="K26" s="839"/>
      <c r="L26" s="839"/>
      <c r="M26" s="839"/>
      <c r="N26" s="839"/>
      <c r="O26" s="839"/>
      <c r="P26" s="839"/>
      <c r="Q26" s="839"/>
    </row>
    <row r="27" spans="1:33" x14ac:dyDescent="0.2">
      <c r="A27" s="839"/>
      <c r="B27" s="839"/>
      <c r="C27" s="839"/>
      <c r="D27" s="839"/>
      <c r="E27" s="839"/>
      <c r="F27" s="839"/>
      <c r="G27" s="839"/>
      <c r="H27" s="839"/>
      <c r="I27" s="839"/>
      <c r="J27" s="839"/>
      <c r="K27" s="839"/>
      <c r="L27" s="839"/>
      <c r="M27" s="839"/>
      <c r="N27" s="839"/>
      <c r="O27" s="839"/>
      <c r="P27" s="839"/>
      <c r="Q27" s="839"/>
    </row>
    <row r="28" spans="1:33" x14ac:dyDescent="0.2">
      <c r="A28" s="833"/>
      <c r="B28" s="833"/>
      <c r="C28" s="833"/>
      <c r="D28" s="833"/>
      <c r="E28" s="833"/>
      <c r="F28" s="833"/>
      <c r="G28" s="833"/>
      <c r="H28" s="833"/>
      <c r="I28" s="833"/>
      <c r="J28" s="839"/>
      <c r="K28" s="839"/>
      <c r="L28" s="839"/>
      <c r="M28" s="839"/>
      <c r="N28" s="839"/>
      <c r="O28" s="839"/>
      <c r="P28" s="839"/>
      <c r="Q28" s="839"/>
    </row>
    <row r="29" spans="1:33" x14ac:dyDescent="0.2">
      <c r="A29" s="833"/>
      <c r="B29" s="833"/>
      <c r="C29" s="833"/>
      <c r="D29" s="833"/>
      <c r="E29" s="833"/>
      <c r="F29" s="833"/>
      <c r="G29" s="833"/>
      <c r="H29" s="833"/>
      <c r="I29" s="833"/>
      <c r="J29" s="839"/>
      <c r="K29" s="839"/>
      <c r="L29" s="839"/>
      <c r="M29" s="839"/>
      <c r="N29" s="839"/>
      <c r="O29" s="839"/>
      <c r="P29" s="839"/>
      <c r="Q29" s="839"/>
    </row>
    <row r="30" spans="1:33" x14ac:dyDescent="0.2">
      <c r="A30" s="833"/>
      <c r="B30" s="833"/>
      <c r="C30" s="833"/>
      <c r="D30" s="833"/>
      <c r="E30" s="833"/>
      <c r="F30" s="833"/>
      <c r="G30" s="833"/>
      <c r="H30" s="833"/>
      <c r="I30" s="833"/>
      <c r="J30" s="839"/>
      <c r="K30" s="839"/>
      <c r="L30" s="839"/>
      <c r="M30" s="839"/>
      <c r="N30" s="839"/>
      <c r="O30" s="839"/>
      <c r="P30" s="839"/>
      <c r="Q30" s="839"/>
    </row>
    <row r="31" spans="1:33" x14ac:dyDescent="0.2">
      <c r="A31" s="833"/>
      <c r="B31" s="833"/>
      <c r="C31" s="833"/>
      <c r="D31" s="833"/>
      <c r="E31" s="833"/>
      <c r="F31" s="833"/>
      <c r="G31" s="833"/>
      <c r="H31" s="833"/>
      <c r="I31" s="833"/>
      <c r="J31" s="839"/>
      <c r="K31" s="839"/>
      <c r="L31" s="839"/>
      <c r="M31" s="839"/>
      <c r="N31" s="839"/>
      <c r="O31" s="839"/>
      <c r="P31" s="839"/>
      <c r="Q31" s="839"/>
    </row>
    <row r="32" spans="1:33" x14ac:dyDescent="0.2">
      <c r="A32" s="833"/>
      <c r="B32" s="833"/>
      <c r="C32" s="833"/>
      <c r="D32" s="833"/>
      <c r="E32" s="833"/>
      <c r="F32" s="833"/>
      <c r="G32" s="833"/>
      <c r="H32" s="833"/>
      <c r="I32" s="833"/>
      <c r="J32" s="839"/>
      <c r="K32" s="839"/>
      <c r="L32" s="839"/>
      <c r="M32" s="839"/>
      <c r="N32" s="839"/>
      <c r="O32" s="839"/>
      <c r="P32" s="839"/>
      <c r="Q32" s="839"/>
    </row>
    <row r="33" spans="1:17" x14ac:dyDescent="0.2">
      <c r="A33" s="833"/>
      <c r="B33" s="833"/>
      <c r="C33" s="833"/>
      <c r="D33" s="833"/>
      <c r="E33" s="833"/>
      <c r="F33" s="833"/>
      <c r="G33" s="833"/>
      <c r="H33" s="833"/>
      <c r="I33" s="833"/>
      <c r="J33" s="839"/>
      <c r="K33" s="839"/>
      <c r="L33" s="839"/>
      <c r="M33" s="839"/>
      <c r="N33" s="839"/>
      <c r="O33" s="839"/>
      <c r="P33" s="839"/>
      <c r="Q33" s="839"/>
    </row>
    <row r="34" spans="1:17" x14ac:dyDescent="0.2">
      <c r="A34" s="839"/>
      <c r="B34" s="839"/>
      <c r="C34" s="839"/>
      <c r="D34" s="839"/>
      <c r="E34" s="839"/>
      <c r="F34" s="839"/>
      <c r="G34" s="839"/>
      <c r="H34" s="839"/>
      <c r="I34" s="839"/>
      <c r="J34" s="839"/>
      <c r="K34" s="839"/>
      <c r="L34" s="839"/>
      <c r="M34" s="839"/>
      <c r="N34" s="839"/>
      <c r="O34" s="839"/>
      <c r="P34" s="839"/>
      <c r="Q34" s="839"/>
    </row>
    <row r="35" spans="1:17" x14ac:dyDescent="0.2">
      <c r="A35" s="839"/>
      <c r="B35" s="839"/>
      <c r="C35" s="839"/>
      <c r="D35" s="839"/>
      <c r="E35" s="839"/>
      <c r="F35" s="839"/>
      <c r="G35" s="839"/>
      <c r="H35" s="839"/>
      <c r="I35" s="839"/>
      <c r="J35" s="839"/>
      <c r="K35" s="839"/>
      <c r="L35" s="839"/>
      <c r="M35" s="839"/>
      <c r="N35" s="839"/>
      <c r="O35" s="839"/>
      <c r="P35" s="839"/>
      <c r="Q35" s="839"/>
    </row>
    <row r="36" spans="1:17" x14ac:dyDescent="0.2">
      <c r="A36" s="833"/>
      <c r="B36" s="839"/>
      <c r="C36" s="839"/>
      <c r="D36" s="839"/>
      <c r="E36" s="839"/>
      <c r="F36" s="839"/>
      <c r="G36" s="839"/>
      <c r="H36" s="839"/>
      <c r="I36" s="839"/>
      <c r="J36" s="839"/>
      <c r="K36" s="839"/>
      <c r="L36" s="839"/>
      <c r="M36" s="839"/>
      <c r="N36" s="839"/>
      <c r="O36" s="839"/>
      <c r="P36" s="839"/>
      <c r="Q36" s="839"/>
    </row>
    <row r="37" spans="1:17" x14ac:dyDescent="0.2">
      <c r="A37" s="833"/>
      <c r="B37" s="839"/>
      <c r="C37" s="839"/>
      <c r="D37" s="839"/>
      <c r="E37" s="839"/>
      <c r="F37" s="839"/>
      <c r="G37" s="839"/>
      <c r="H37" s="839"/>
      <c r="I37" s="839"/>
      <c r="J37" s="839"/>
      <c r="K37" s="839"/>
      <c r="L37" s="839"/>
      <c r="M37" s="839"/>
      <c r="N37" s="839"/>
      <c r="O37" s="839"/>
      <c r="P37" s="839"/>
      <c r="Q37" s="839"/>
    </row>
    <row r="38" spans="1:17" x14ac:dyDescent="0.2">
      <c r="A38" s="833"/>
      <c r="B38" s="839"/>
      <c r="C38" s="839"/>
      <c r="D38" s="839"/>
      <c r="E38" s="839"/>
      <c r="F38" s="839"/>
      <c r="G38" s="839"/>
      <c r="H38" s="839"/>
      <c r="I38" s="839"/>
      <c r="J38" s="839"/>
      <c r="K38" s="839"/>
      <c r="L38" s="839"/>
      <c r="M38" s="839"/>
      <c r="N38" s="839"/>
      <c r="O38" s="839"/>
      <c r="P38" s="839"/>
      <c r="Q38" s="839"/>
    </row>
    <row r="39" spans="1:17" x14ac:dyDescent="0.2">
      <c r="A39" s="833"/>
      <c r="B39" s="839"/>
      <c r="C39" s="839"/>
      <c r="D39" s="839"/>
      <c r="E39" s="839"/>
      <c r="F39" s="839"/>
      <c r="G39" s="839"/>
      <c r="H39" s="839"/>
      <c r="I39" s="839"/>
      <c r="J39" s="839"/>
      <c r="K39" s="839"/>
      <c r="L39" s="839"/>
      <c r="M39" s="839"/>
      <c r="N39" s="839"/>
      <c r="O39" s="839"/>
      <c r="P39" s="839"/>
      <c r="Q39" s="839"/>
    </row>
    <row r="40" spans="1:17" x14ac:dyDescent="0.2">
      <c r="A40" s="833"/>
      <c r="B40" s="839"/>
      <c r="C40" s="839"/>
      <c r="D40" s="839"/>
      <c r="E40" s="839"/>
      <c r="F40" s="839"/>
      <c r="G40" s="839"/>
      <c r="H40" s="839"/>
      <c r="I40" s="839"/>
      <c r="J40" s="839"/>
      <c r="K40" s="45"/>
      <c r="L40" s="839"/>
      <c r="M40" s="839"/>
      <c r="N40" s="839"/>
      <c r="O40" s="839"/>
      <c r="P40" s="839"/>
      <c r="Q40" s="839"/>
    </row>
    <row r="41" spans="1:17" x14ac:dyDescent="0.2">
      <c r="A41" s="839"/>
      <c r="B41" s="839"/>
      <c r="C41" s="839"/>
      <c r="D41" s="839"/>
      <c r="E41" s="839"/>
      <c r="F41" s="839"/>
      <c r="G41" s="839"/>
      <c r="H41" s="839"/>
      <c r="I41" s="839"/>
      <c r="J41" s="839"/>
      <c r="K41" s="839"/>
      <c r="L41" s="839"/>
      <c r="M41" s="839"/>
      <c r="N41" s="839"/>
      <c r="O41" s="839"/>
      <c r="P41" s="839"/>
      <c r="Q41" s="839"/>
    </row>
    <row r="42" spans="1:17" x14ac:dyDescent="0.2">
      <c r="A42" s="839"/>
      <c r="B42" s="839"/>
      <c r="C42" s="839"/>
      <c r="D42" s="839"/>
      <c r="E42" s="839"/>
      <c r="F42" s="839"/>
      <c r="G42" s="839"/>
      <c r="H42" s="839"/>
      <c r="I42" s="839"/>
      <c r="J42" s="839"/>
      <c r="K42" s="839"/>
      <c r="L42" s="839"/>
      <c r="M42" s="839"/>
      <c r="N42" s="839"/>
      <c r="O42" s="839"/>
      <c r="P42" s="839"/>
      <c r="Q42" s="839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D44" sqref="D44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52"/>
      <c r="B1" s="312" t="s">
        <v>5056</v>
      </c>
      <c r="C1" s="312" t="s">
        <v>5057</v>
      </c>
      <c r="D1" s="312" t="s">
        <v>5050</v>
      </c>
      <c r="E1" s="312" t="s">
        <v>5057</v>
      </c>
    </row>
    <row r="2" spans="1:5" x14ac:dyDescent="0.2">
      <c r="A2" s="7" t="s">
        <v>330</v>
      </c>
      <c r="B2" s="8">
        <f>SUM(B3:B4)</f>
        <v>0</v>
      </c>
      <c r="C2" s="8">
        <f>IF(_Pat_Gewicht&gt;0,10*B2/_Pat_Gewicht,0)</f>
        <v>0</v>
      </c>
      <c r="D2" s="8"/>
      <c r="E2" s="9"/>
    </row>
    <row r="3" spans="1:5" x14ac:dyDescent="0.2">
      <c r="A3" s="3" t="s">
        <v>197</v>
      </c>
      <c r="B3">
        <f>PedBerEnt!E3</f>
        <v>0</v>
      </c>
    </row>
    <row r="4" spans="1:5" x14ac:dyDescent="0.2">
      <c r="A4" s="3" t="s">
        <v>195</v>
      </c>
      <c r="B4">
        <f>(PedBerMedIV!M26+PedBerTPN!F24+PedBerIVenPM!F9+GlobBerMedDisc!P33)</f>
        <v>0</v>
      </c>
    </row>
    <row r="5" spans="1:5" x14ac:dyDescent="0.2">
      <c r="A5" s="7" t="s">
        <v>185</v>
      </c>
      <c r="B5" s="8">
        <f>SUM(B6:B8)</f>
        <v>0</v>
      </c>
      <c r="C5" s="8">
        <f>IF(_Pat_Gewicht&gt;0, B5/(_Pat_Gewicht/10),0)</f>
        <v>0</v>
      </c>
      <c r="D5" s="8">
        <f>SUM(D7:D7)</f>
        <v>0</v>
      </c>
      <c r="E5" s="9">
        <f>IF(_Pat_Gewicht&gt;0,D5/(_Pat_Gewicht/10),0)</f>
        <v>0</v>
      </c>
    </row>
    <row r="6" spans="1:5" x14ac:dyDescent="0.2">
      <c r="A6" s="370" t="s">
        <v>197</v>
      </c>
      <c r="B6">
        <f>PedBerEnt!P7</f>
        <v>0</v>
      </c>
      <c r="C6" s="5" t="s">
        <v>202</v>
      </c>
      <c r="D6" s="5" t="s">
        <v>202</v>
      </c>
    </row>
    <row r="7" spans="1:5" x14ac:dyDescent="0.2">
      <c r="A7" s="3" t="s">
        <v>201</v>
      </c>
      <c r="B7">
        <f>GlobBerMedDisc!S33+PedBerMedIV!N26+PedBerMedIV!O26</f>
        <v>0</v>
      </c>
      <c r="D7">
        <f>B7*4</f>
        <v>0</v>
      </c>
    </row>
    <row r="8" spans="1:5" x14ac:dyDescent="0.2">
      <c r="A8" s="3" t="s">
        <v>226</v>
      </c>
      <c r="B8">
        <f>PedBerTPN!G24</f>
        <v>0</v>
      </c>
      <c r="C8" s="5" t="s">
        <v>202</v>
      </c>
      <c r="D8" s="5" t="s">
        <v>202</v>
      </c>
    </row>
    <row r="9" spans="1:5" x14ac:dyDescent="0.2">
      <c r="A9" s="7" t="s">
        <v>189</v>
      </c>
      <c r="B9" s="8">
        <f>SUM(B10:B12)</f>
        <v>0</v>
      </c>
      <c r="C9" s="8">
        <f>IF(_Pat_Gewicht&gt;0,B9/(_Pat_Gewicht/10),0)</f>
        <v>0</v>
      </c>
      <c r="D9" s="8">
        <f>SUM(D10:D11)</f>
        <v>0</v>
      </c>
      <c r="E9" s="9">
        <f>IF(_Pat_Gewicht&gt;0,D9/(_Pat_Gewicht/10),0)</f>
        <v>0</v>
      </c>
    </row>
    <row r="10" spans="1:5" x14ac:dyDescent="0.2">
      <c r="A10" s="3" t="s">
        <v>197</v>
      </c>
      <c r="B10">
        <f>PedBerEnt!O7</f>
        <v>0</v>
      </c>
      <c r="C10" s="5" t="s">
        <v>202</v>
      </c>
      <c r="D10" s="5" t="s">
        <v>202</v>
      </c>
    </row>
    <row r="11" spans="1:5" x14ac:dyDescent="0.2">
      <c r="A11" s="3" t="s">
        <v>195</v>
      </c>
      <c r="B11">
        <f>PedBerTPN!H24</f>
        <v>0</v>
      </c>
      <c r="C11" s="5" t="s">
        <v>202</v>
      </c>
      <c r="D11" s="5" t="s">
        <v>202</v>
      </c>
    </row>
    <row r="12" spans="1:5" x14ac:dyDescent="0.2">
      <c r="A12" s="3" t="s">
        <v>58</v>
      </c>
      <c r="B12">
        <f>PedBerMedIV!S26</f>
        <v>0</v>
      </c>
      <c r="C12" s="5"/>
      <c r="D12" s="5"/>
    </row>
    <row r="13" spans="1:5" x14ac:dyDescent="0.2">
      <c r="A13" s="7" t="s">
        <v>190</v>
      </c>
      <c r="B13" s="8">
        <f>SUM(B14:B16)</f>
        <v>0</v>
      </c>
      <c r="C13" s="8">
        <f>SUM(C14:C16)</f>
        <v>0</v>
      </c>
      <c r="D13" s="8">
        <f>SUM(D14:D15)</f>
        <v>0</v>
      </c>
      <c r="E13" s="9">
        <f>IF(_Pat_Gewicht&gt;0,D13/(_Pat_Gewicht/10),0)</f>
        <v>0</v>
      </c>
    </row>
    <row r="14" spans="1:5" x14ac:dyDescent="0.2">
      <c r="A14" s="3" t="s">
        <v>197</v>
      </c>
      <c r="B14">
        <f>PedBerEnt!Q7</f>
        <v>0</v>
      </c>
      <c r="C14">
        <f>IF(_Pat_Gewicht&gt;0,B14/(_Pat_Gewicht/10),0)</f>
        <v>0</v>
      </c>
      <c r="D14" s="5" t="s">
        <v>202</v>
      </c>
    </row>
    <row r="15" spans="1:5" x14ac:dyDescent="0.2">
      <c r="A15" s="3" t="s">
        <v>195</v>
      </c>
      <c r="B15">
        <f>PedBerTPN!O24</f>
        <v>0</v>
      </c>
      <c r="C15">
        <f>IF(_Pat_Gewicht&gt;0,B15/(_Pat_Gewicht/10),0)</f>
        <v>0</v>
      </c>
      <c r="D15" s="5" t="s">
        <v>202</v>
      </c>
    </row>
    <row r="16" spans="1:5" x14ac:dyDescent="0.2">
      <c r="A16" s="3" t="s">
        <v>196</v>
      </c>
      <c r="B16">
        <f>PedBerMedIV!T26</f>
        <v>0</v>
      </c>
      <c r="D16">
        <f>B16*9</f>
        <v>0</v>
      </c>
    </row>
    <row r="17" spans="1:5" x14ac:dyDescent="0.2">
      <c r="A17" s="7" t="s">
        <v>331</v>
      </c>
      <c r="B17" s="8">
        <f>SUM(B18:B22)</f>
        <v>0</v>
      </c>
      <c r="C17" s="8">
        <f>SUM(C18:C22)</f>
        <v>0</v>
      </c>
      <c r="D17" s="8"/>
      <c r="E17" s="9"/>
    </row>
    <row r="18" spans="1:5" x14ac:dyDescent="0.2">
      <c r="A18" s="3" t="s">
        <v>197</v>
      </c>
      <c r="B18">
        <f>PedBerEnt!R7</f>
        <v>0</v>
      </c>
      <c r="C18">
        <f>IF(_Pat_Gewicht&gt;0,B18/(_Pat_Gewicht/10),0)</f>
        <v>0</v>
      </c>
    </row>
    <row r="19" spans="1:5" x14ac:dyDescent="0.2">
      <c r="A19" s="3" t="s">
        <v>235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3" t="s">
        <v>201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2">
        <v>8.9999999999999993E-3</v>
      </c>
      <c r="B21">
        <f>PedBerMedIV!Q26</f>
        <v>0</v>
      </c>
      <c r="C21">
        <f>IF(_Pat_Gewicht&gt;0,B21/(_Pat_Gewicht/10),0)</f>
        <v>0</v>
      </c>
    </row>
    <row r="22" spans="1:5" x14ac:dyDescent="0.2">
      <c r="A22" s="2" t="s">
        <v>226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7" t="s">
        <v>332</v>
      </c>
      <c r="B23" s="8">
        <f>SUM(B24:B26)</f>
        <v>0</v>
      </c>
      <c r="C23" s="8">
        <f>SUM(C24:C26)</f>
        <v>0</v>
      </c>
      <c r="D23" s="8"/>
      <c r="E23" s="9"/>
    </row>
    <row r="24" spans="1:5" x14ac:dyDescent="0.2">
      <c r="A24" s="3" t="s">
        <v>197</v>
      </c>
      <c r="B24">
        <f>PedBerEnt!S7</f>
        <v>0</v>
      </c>
      <c r="C24">
        <f>IF(_Pat_Gewicht&gt;0,B24/(_Pat_Gewicht/10),0)</f>
        <v>0</v>
      </c>
    </row>
    <row r="25" spans="1:5" x14ac:dyDescent="0.2">
      <c r="A25" s="3" t="s">
        <v>226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3" t="s">
        <v>201</v>
      </c>
      <c r="B26">
        <f>PedBerMedIV!R26</f>
        <v>0</v>
      </c>
      <c r="C26">
        <f>IF(_Pat_Gewicht&gt;0,B26/(_Pat_Gewicht/10),0)</f>
        <v>0</v>
      </c>
    </row>
    <row r="27" spans="1:5" x14ac:dyDescent="0.2">
      <c r="A27" s="7" t="s">
        <v>186</v>
      </c>
      <c r="B27" s="8">
        <f>SUM(B28:B29)</f>
        <v>0</v>
      </c>
      <c r="C27" s="8">
        <f>SUM(C28:C29)</f>
        <v>0</v>
      </c>
      <c r="D27" s="8"/>
      <c r="E27" s="9"/>
    </row>
    <row r="28" spans="1:5" x14ac:dyDescent="0.2">
      <c r="A28" s="3" t="s">
        <v>197</v>
      </c>
      <c r="B28">
        <f>PedBerEnt!T7</f>
        <v>0</v>
      </c>
      <c r="C28">
        <f>IF(_Pat_Gewicht&gt;0,B28/(_Pat_Gewicht/10),0)</f>
        <v>0</v>
      </c>
    </row>
    <row r="29" spans="1:5" x14ac:dyDescent="0.2">
      <c r="A29" s="3" t="s">
        <v>226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7" t="s">
        <v>187</v>
      </c>
      <c r="B30" s="8">
        <f>SUM(B31:B32)</f>
        <v>0</v>
      </c>
      <c r="C30" s="8">
        <f>SUM(C31:C32)</f>
        <v>0</v>
      </c>
      <c r="D30" s="8"/>
      <c r="E30" s="9"/>
    </row>
    <row r="31" spans="1:5" x14ac:dyDescent="0.2">
      <c r="A31" s="3" t="s">
        <v>197</v>
      </c>
      <c r="B31">
        <f>PedBerEnt!U7</f>
        <v>0</v>
      </c>
      <c r="C31">
        <f>IF(_Pat_Gewicht&gt;0,B31/(_Pat_Gewicht/10),0)</f>
        <v>0</v>
      </c>
    </row>
    <row r="32" spans="1:5" x14ac:dyDescent="0.2">
      <c r="A32" s="3" t="s">
        <v>226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7" t="s">
        <v>188</v>
      </c>
      <c r="B33" s="8">
        <f>SUM(B34:B35)</f>
        <v>0</v>
      </c>
      <c r="C33" s="8">
        <f>SUM(C34:C35)</f>
        <v>0</v>
      </c>
      <c r="D33" s="8"/>
      <c r="E33" s="9"/>
    </row>
    <row r="34" spans="1:5" x14ac:dyDescent="0.2">
      <c r="A34" s="3" t="s">
        <v>197</v>
      </c>
      <c r="B34">
        <f>PedBerEnt!V7</f>
        <v>0</v>
      </c>
      <c r="C34">
        <f>IF(_Pat_Gewicht&gt;0,B34/(_Pat_Gewicht/10),0)</f>
        <v>0</v>
      </c>
    </row>
    <row r="35" spans="1:5" x14ac:dyDescent="0.2">
      <c r="A35" s="3" t="s">
        <v>195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7" t="s">
        <v>945</v>
      </c>
      <c r="B36" s="8">
        <f>SUM(B37)</f>
        <v>0</v>
      </c>
      <c r="C36" s="8">
        <f>SUM(C37)</f>
        <v>0</v>
      </c>
      <c r="D36" s="8"/>
      <c r="E36" s="9"/>
    </row>
    <row r="37" spans="1:5" x14ac:dyDescent="0.2">
      <c r="A37" s="3" t="s">
        <v>197</v>
      </c>
      <c r="B37" s="311">
        <f>PedBerEnt!W7</f>
        <v>0</v>
      </c>
      <c r="C37" s="311">
        <f>IF(_Pat_Gewicht&gt;0,B37/(_Pat_Gewicht/10),0)</f>
        <v>0</v>
      </c>
      <c r="D37" s="311"/>
      <c r="E37" s="311"/>
    </row>
    <row r="38" spans="1:5" x14ac:dyDescent="0.2">
      <c r="A38" s="7" t="s">
        <v>944</v>
      </c>
      <c r="B38" s="8">
        <f>SUM(B39)</f>
        <v>0</v>
      </c>
      <c r="C38" s="8">
        <f>SUM(C39)</f>
        <v>0</v>
      </c>
      <c r="D38" s="8"/>
      <c r="E38" s="9"/>
    </row>
    <row r="39" spans="1:5" x14ac:dyDescent="0.2">
      <c r="A39" s="3" t="s">
        <v>197</v>
      </c>
      <c r="B39" s="311">
        <f>PedBerEnt!X7</f>
        <v>0</v>
      </c>
      <c r="C39" s="311">
        <f>IF(_Pat_Gewicht&gt;0,B39/(_Pat_Gewicht/10),0)</f>
        <v>0</v>
      </c>
      <c r="D39" s="311"/>
      <c r="E39" s="311"/>
    </row>
    <row r="40" spans="1:5" x14ac:dyDescent="0.2">
      <c r="A40" s="7" t="s">
        <v>943</v>
      </c>
      <c r="B40" s="8">
        <f>SUM(B41)</f>
        <v>0</v>
      </c>
      <c r="C40" s="8">
        <f>IF(_Pat_Gewicht&gt;0,B40/(_Pat_Gewicht/10),0)</f>
        <v>0</v>
      </c>
      <c r="D40" s="8"/>
      <c r="E40" s="9"/>
    </row>
    <row r="41" spans="1:5" x14ac:dyDescent="0.2">
      <c r="A41" s="3" t="s">
        <v>197</v>
      </c>
      <c r="B41" s="311">
        <f>PedBerEnt!Y7</f>
        <v>0</v>
      </c>
      <c r="C41" s="311">
        <f>IF(_Pat_Gewicht&gt;0,B41/(_Pat_Gewicht/10),0)</f>
        <v>0</v>
      </c>
      <c r="D41" s="311"/>
      <c r="E41" s="311"/>
    </row>
    <row r="42" spans="1:5" x14ac:dyDescent="0.2">
      <c r="A42" s="10" t="s">
        <v>226</v>
      </c>
      <c r="B42" s="8"/>
      <c r="C42" s="8"/>
      <c r="D42" s="8">
        <f>PedBerTPN!N24+PedBerEnt!E7</f>
        <v>0</v>
      </c>
      <c r="E42" s="9">
        <f>IF(_Pat_Gewicht&gt;0,D42/(_Pat_Gewicht/10),0)</f>
        <v>0</v>
      </c>
    </row>
    <row r="44" spans="1:5" x14ac:dyDescent="0.2">
      <c r="A44" s="3" t="s">
        <v>215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M26"/>
  <sheetViews>
    <sheetView workbookViewId="0">
      <selection activeCell="Q32" sqref="Q32"/>
    </sheetView>
  </sheetViews>
  <sheetFormatPr defaultRowHeight="12.75" x14ac:dyDescent="0.2"/>
  <cols>
    <col min="1" max="1" width="24.42578125" customWidth="1"/>
  </cols>
  <sheetData>
    <row r="1" spans="1:13" x14ac:dyDescent="0.2"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x14ac:dyDescent="0.2">
      <c r="B2" t="s">
        <v>227</v>
      </c>
      <c r="C2" t="s">
        <v>189</v>
      </c>
      <c r="D2" t="s">
        <v>228</v>
      </c>
      <c r="E2" t="s">
        <v>190</v>
      </c>
      <c r="F2" t="s">
        <v>222</v>
      </c>
      <c r="G2" t="s">
        <v>223</v>
      </c>
      <c r="H2" t="s">
        <v>224</v>
      </c>
      <c r="I2" t="s">
        <v>229</v>
      </c>
      <c r="J2" t="s">
        <v>225</v>
      </c>
      <c r="K2" t="s">
        <v>859</v>
      </c>
      <c r="L2" t="s">
        <v>860</v>
      </c>
      <c r="M2" t="s">
        <v>574</v>
      </c>
    </row>
    <row r="3" spans="1:13" x14ac:dyDescent="0.2">
      <c r="A3" s="312" t="s">
        <v>5060</v>
      </c>
      <c r="B3" t="s">
        <v>5039</v>
      </c>
      <c r="C3" t="s">
        <v>31</v>
      </c>
      <c r="D3" t="s">
        <v>31</v>
      </c>
      <c r="E3" t="s">
        <v>31</v>
      </c>
      <c r="F3" t="s">
        <v>472</v>
      </c>
      <c r="G3" t="s">
        <v>472</v>
      </c>
      <c r="H3" t="s">
        <v>472</v>
      </c>
      <c r="I3" t="s">
        <v>472</v>
      </c>
      <c r="J3" t="s">
        <v>472</v>
      </c>
      <c r="K3" t="s">
        <v>472</v>
      </c>
      <c r="L3" t="s">
        <v>5041</v>
      </c>
      <c r="M3" t="s">
        <v>472</v>
      </c>
    </row>
    <row r="5" spans="1:13" x14ac:dyDescent="0.2">
      <c r="A5" t="s">
        <v>327</v>
      </c>
      <c r="B5">
        <f t="shared" ref="B5:M10" si="0">VLOOKUP($A5,Tbl_Glob_ParEnt,B$1,FALSE)</f>
        <v>0.32</v>
      </c>
      <c r="C5" s="311">
        <f t="shared" si="0"/>
        <v>0.08</v>
      </c>
      <c r="D5" s="311">
        <f t="shared" si="0"/>
        <v>0</v>
      </c>
      <c r="E5" s="311">
        <f t="shared" si="0"/>
        <v>0</v>
      </c>
      <c r="F5" s="311">
        <f t="shared" si="0"/>
        <v>8.0000000000000002E-3</v>
      </c>
      <c r="G5" s="311">
        <f t="shared" si="0"/>
        <v>0.02</v>
      </c>
      <c r="H5" s="311">
        <f t="shared" si="0"/>
        <v>2.8000000000000001E-2</v>
      </c>
      <c r="I5" s="311">
        <f t="shared" si="0"/>
        <v>2.4E-2</v>
      </c>
      <c r="J5" s="311">
        <f t="shared" si="0"/>
        <v>8.0000000000000002E-3</v>
      </c>
      <c r="K5" s="311">
        <f t="shared" si="0"/>
        <v>0</v>
      </c>
      <c r="L5" s="311">
        <f t="shared" si="0"/>
        <v>0</v>
      </c>
      <c r="M5" s="311">
        <f t="shared" si="0"/>
        <v>0</v>
      </c>
    </row>
    <row r="6" spans="1:13" x14ac:dyDescent="0.2">
      <c r="A6" t="s">
        <v>326</v>
      </c>
      <c r="B6" s="311">
        <f t="shared" si="0"/>
        <v>0.28999999999999998</v>
      </c>
      <c r="C6" s="311">
        <f t="shared" si="0"/>
        <v>7.4285714285714288E-2</v>
      </c>
      <c r="D6" s="311">
        <f t="shared" si="0"/>
        <v>0</v>
      </c>
      <c r="E6" s="311">
        <f t="shared" si="0"/>
        <v>0</v>
      </c>
      <c r="F6" s="311">
        <f t="shared" si="0"/>
        <v>7.1428571428571426E-3</v>
      </c>
      <c r="G6" s="311">
        <f t="shared" si="0"/>
        <v>1.7142857142857144E-2</v>
      </c>
      <c r="H6" s="311">
        <f t="shared" si="0"/>
        <v>2.5714285714285714E-2</v>
      </c>
      <c r="I6" s="311">
        <f t="shared" si="0"/>
        <v>2.1428571428571429E-2</v>
      </c>
      <c r="J6" s="311">
        <f t="shared" si="0"/>
        <v>5.7142857142857143E-3</v>
      </c>
      <c r="K6" s="311">
        <f t="shared" si="0"/>
        <v>0</v>
      </c>
      <c r="L6" s="311">
        <f t="shared" si="0"/>
        <v>0</v>
      </c>
      <c r="M6" s="311">
        <f t="shared" si="0"/>
        <v>0</v>
      </c>
    </row>
    <row r="7" spans="1:13" x14ac:dyDescent="0.2">
      <c r="A7" t="s">
        <v>327</v>
      </c>
      <c r="B7" s="311">
        <f t="shared" si="0"/>
        <v>0.32</v>
      </c>
      <c r="C7" s="311">
        <f t="shared" si="0"/>
        <v>0.08</v>
      </c>
      <c r="D7" s="311">
        <f t="shared" si="0"/>
        <v>0</v>
      </c>
      <c r="E7" s="311">
        <f t="shared" si="0"/>
        <v>0</v>
      </c>
      <c r="F7" s="311">
        <f t="shared" si="0"/>
        <v>8.0000000000000002E-3</v>
      </c>
      <c r="G7" s="311">
        <f t="shared" si="0"/>
        <v>0.02</v>
      </c>
      <c r="H7" s="311">
        <f t="shared" si="0"/>
        <v>2.8000000000000001E-2</v>
      </c>
      <c r="I7" s="311">
        <f t="shared" si="0"/>
        <v>2.4E-2</v>
      </c>
      <c r="J7" s="311">
        <f t="shared" si="0"/>
        <v>8.0000000000000002E-3</v>
      </c>
      <c r="K7" s="311">
        <f t="shared" si="0"/>
        <v>0</v>
      </c>
      <c r="L7" s="311">
        <f t="shared" si="0"/>
        <v>0</v>
      </c>
      <c r="M7" s="311">
        <f t="shared" si="0"/>
        <v>0</v>
      </c>
    </row>
    <row r="8" spans="1:13" x14ac:dyDescent="0.2">
      <c r="A8" t="s">
        <v>41</v>
      </c>
      <c r="B8" s="311">
        <f t="shared" si="0"/>
        <v>0.35</v>
      </c>
      <c r="C8" s="311">
        <f t="shared" si="0"/>
        <v>8.7999999999999995E-2</v>
      </c>
      <c r="D8" s="311">
        <f t="shared" si="0"/>
        <v>0</v>
      </c>
      <c r="E8" s="311">
        <f t="shared" si="0"/>
        <v>0</v>
      </c>
      <c r="F8" s="311">
        <f t="shared" si="0"/>
        <v>0.01</v>
      </c>
      <c r="G8" s="311">
        <f t="shared" si="0"/>
        <v>2.5000000000000001E-2</v>
      </c>
      <c r="H8" s="311">
        <f t="shared" si="0"/>
        <v>1.7999999999999999E-2</v>
      </c>
      <c r="I8" s="311">
        <f t="shared" si="0"/>
        <v>0.03</v>
      </c>
      <c r="J8" s="311">
        <f t="shared" si="0"/>
        <v>0.01</v>
      </c>
      <c r="K8" s="311">
        <f t="shared" si="0"/>
        <v>0</v>
      </c>
      <c r="L8" s="311">
        <f t="shared" si="0"/>
        <v>0</v>
      </c>
      <c r="M8" s="311">
        <f t="shared" si="0"/>
        <v>0</v>
      </c>
    </row>
    <row r="9" spans="1:13" x14ac:dyDescent="0.2">
      <c r="A9" t="s">
        <v>42</v>
      </c>
      <c r="B9" s="311">
        <f t="shared" si="0"/>
        <v>0.33</v>
      </c>
      <c r="C9" s="311">
        <f t="shared" si="0"/>
        <v>8.3000000000000004E-2</v>
      </c>
      <c r="D9" s="311">
        <f t="shared" si="0"/>
        <v>0</v>
      </c>
      <c r="E9" s="311">
        <f t="shared" si="0"/>
        <v>0</v>
      </c>
      <c r="F9" s="311">
        <f t="shared" si="0"/>
        <v>1.2499999999999999E-2</v>
      </c>
      <c r="G9" s="311">
        <f t="shared" si="0"/>
        <v>3.1E-2</v>
      </c>
      <c r="H9" s="311">
        <f t="shared" si="0"/>
        <v>2.5999999999999999E-2</v>
      </c>
      <c r="I9" s="311">
        <f t="shared" si="0"/>
        <v>3.7999999999999999E-2</v>
      </c>
      <c r="J9" s="311">
        <f t="shared" si="0"/>
        <v>1.2500000000000001E-2</v>
      </c>
      <c r="K9" s="311">
        <f t="shared" si="0"/>
        <v>0</v>
      </c>
      <c r="L9" s="311">
        <f t="shared" si="0"/>
        <v>0</v>
      </c>
      <c r="M9" s="311">
        <f t="shared" si="0"/>
        <v>0</v>
      </c>
    </row>
    <row r="10" spans="1:13" x14ac:dyDescent="0.2">
      <c r="A10" t="s">
        <v>78</v>
      </c>
      <c r="B10" s="311">
        <f t="shared" si="0"/>
        <v>0.96</v>
      </c>
      <c r="C10" s="311">
        <f t="shared" si="0"/>
        <v>7.0000000000000007E-2</v>
      </c>
      <c r="D10" s="311">
        <f t="shared" si="0"/>
        <v>0.24</v>
      </c>
      <c r="E10" s="311">
        <f t="shared" si="0"/>
        <v>0</v>
      </c>
      <c r="F10" s="311">
        <f t="shared" si="0"/>
        <v>4.0500000000000001E-2</v>
      </c>
      <c r="G10" s="311">
        <f t="shared" si="0"/>
        <v>2.5700000000000001E-2</v>
      </c>
      <c r="H10" s="311">
        <f t="shared" si="0"/>
        <v>4.1000000000000003E-3</v>
      </c>
      <c r="I10" s="311">
        <f t="shared" si="0"/>
        <v>1.47E-2</v>
      </c>
      <c r="J10" s="311">
        <f t="shared" si="0"/>
        <v>5.0000000000000001E-3</v>
      </c>
      <c r="K10" s="311">
        <f t="shared" si="0"/>
        <v>0</v>
      </c>
      <c r="L10" s="311">
        <f t="shared" si="0"/>
        <v>0</v>
      </c>
      <c r="M10" s="311">
        <f t="shared" si="0"/>
        <v>0</v>
      </c>
    </row>
    <row r="11" spans="1:13" x14ac:dyDescent="0.2">
      <c r="A11" s="312" t="s">
        <v>5061</v>
      </c>
    </row>
    <row r="12" spans="1:13" x14ac:dyDescent="0.2">
      <c r="A12" s="311"/>
    </row>
    <row r="13" spans="1:13" x14ac:dyDescent="0.2">
      <c r="A13" s="311" t="s">
        <v>295</v>
      </c>
      <c r="B13" s="311">
        <f t="shared" ref="B13:M26" si="1">VLOOKUP($A13,Tbl_Glob_ParEnt,B$1,FALSE)</f>
        <v>0.2</v>
      </c>
      <c r="C13" s="311">
        <f t="shared" si="1"/>
        <v>0</v>
      </c>
      <c r="D13" s="311">
        <f t="shared" si="1"/>
        <v>0.05</v>
      </c>
      <c r="E13" s="311">
        <f t="shared" si="1"/>
        <v>0</v>
      </c>
      <c r="F13" s="311">
        <f t="shared" si="1"/>
        <v>0</v>
      </c>
      <c r="G13" s="311">
        <f t="shared" si="1"/>
        <v>0</v>
      </c>
      <c r="H13" s="311">
        <f t="shared" si="1"/>
        <v>0</v>
      </c>
      <c r="I13" s="311">
        <f t="shared" si="1"/>
        <v>0</v>
      </c>
      <c r="J13" s="311">
        <f t="shared" si="1"/>
        <v>0</v>
      </c>
      <c r="K13" s="311">
        <f t="shared" si="1"/>
        <v>0</v>
      </c>
      <c r="L13" s="311">
        <f t="shared" si="1"/>
        <v>0</v>
      </c>
      <c r="M13" s="311">
        <f t="shared" si="1"/>
        <v>0</v>
      </c>
    </row>
    <row r="14" spans="1:13" x14ac:dyDescent="0.2">
      <c r="A14" s="311" t="s">
        <v>296</v>
      </c>
      <c r="B14" s="311">
        <f t="shared" si="1"/>
        <v>0.4</v>
      </c>
      <c r="C14" s="311">
        <f t="shared" si="1"/>
        <v>0</v>
      </c>
      <c r="D14" s="311">
        <f t="shared" si="1"/>
        <v>0.1</v>
      </c>
      <c r="E14" s="311">
        <f t="shared" si="1"/>
        <v>0</v>
      </c>
      <c r="F14" s="311">
        <f t="shared" si="1"/>
        <v>0</v>
      </c>
      <c r="G14" s="311">
        <f t="shared" si="1"/>
        <v>0</v>
      </c>
      <c r="H14" s="311">
        <f t="shared" si="1"/>
        <v>0</v>
      </c>
      <c r="I14" s="311">
        <f t="shared" si="1"/>
        <v>0</v>
      </c>
      <c r="J14" s="311">
        <f t="shared" si="1"/>
        <v>0</v>
      </c>
      <c r="K14" s="311">
        <f t="shared" si="1"/>
        <v>0</v>
      </c>
      <c r="L14" s="311">
        <f t="shared" si="1"/>
        <v>0</v>
      </c>
      <c r="M14" s="311">
        <f t="shared" si="1"/>
        <v>0</v>
      </c>
    </row>
    <row r="15" spans="1:13" x14ac:dyDescent="0.2">
      <c r="A15" s="311" t="s">
        <v>84</v>
      </c>
      <c r="B15" s="311">
        <f t="shared" si="1"/>
        <v>0.5</v>
      </c>
      <c r="C15" s="311">
        <f t="shared" si="1"/>
        <v>0</v>
      </c>
      <c r="D15" s="311">
        <f t="shared" si="1"/>
        <v>0.125</v>
      </c>
      <c r="E15" s="311">
        <f t="shared" si="1"/>
        <v>0</v>
      </c>
      <c r="F15" s="311">
        <f t="shared" si="1"/>
        <v>0</v>
      </c>
      <c r="G15" s="311">
        <f t="shared" si="1"/>
        <v>0</v>
      </c>
      <c r="H15" s="311">
        <f t="shared" si="1"/>
        <v>0</v>
      </c>
      <c r="I15" s="311">
        <f t="shared" si="1"/>
        <v>0</v>
      </c>
      <c r="J15" s="311">
        <f t="shared" si="1"/>
        <v>0</v>
      </c>
      <c r="K15" s="311">
        <f t="shared" si="1"/>
        <v>0</v>
      </c>
      <c r="L15" s="311">
        <f t="shared" si="1"/>
        <v>0</v>
      </c>
      <c r="M15" s="311">
        <f t="shared" si="1"/>
        <v>0</v>
      </c>
    </row>
    <row r="16" spans="1:13" x14ac:dyDescent="0.2">
      <c r="A16" s="311" t="s">
        <v>95</v>
      </c>
      <c r="B16" s="311">
        <f t="shared" si="1"/>
        <v>0.6</v>
      </c>
      <c r="C16" s="311">
        <f t="shared" si="1"/>
        <v>0</v>
      </c>
      <c r="D16" s="311">
        <f t="shared" si="1"/>
        <v>0.15</v>
      </c>
      <c r="E16" s="311">
        <f t="shared" si="1"/>
        <v>0</v>
      </c>
      <c r="F16" s="311">
        <f t="shared" si="1"/>
        <v>0</v>
      </c>
      <c r="G16" s="311">
        <f t="shared" si="1"/>
        <v>0</v>
      </c>
      <c r="H16" s="311">
        <f t="shared" si="1"/>
        <v>0</v>
      </c>
      <c r="I16" s="311">
        <f t="shared" si="1"/>
        <v>0</v>
      </c>
      <c r="J16" s="311">
        <f t="shared" si="1"/>
        <v>0</v>
      </c>
      <c r="K16" s="311">
        <f t="shared" si="1"/>
        <v>0</v>
      </c>
      <c r="L16" s="311">
        <f t="shared" si="1"/>
        <v>0</v>
      </c>
      <c r="M16" s="311">
        <f t="shared" si="1"/>
        <v>0</v>
      </c>
    </row>
    <row r="17" spans="1:13" x14ac:dyDescent="0.2">
      <c r="A17" s="311" t="s">
        <v>83</v>
      </c>
      <c r="B17" s="311">
        <f t="shared" si="1"/>
        <v>0.7</v>
      </c>
      <c r="C17" s="311">
        <f t="shared" si="1"/>
        <v>0</v>
      </c>
      <c r="D17" s="311">
        <f t="shared" si="1"/>
        <v>0.17499999999999999</v>
      </c>
      <c r="E17" s="311">
        <f t="shared" si="1"/>
        <v>0</v>
      </c>
      <c r="F17" s="311">
        <f t="shared" si="1"/>
        <v>0</v>
      </c>
      <c r="G17" s="311">
        <f t="shared" si="1"/>
        <v>0</v>
      </c>
      <c r="H17" s="311">
        <f t="shared" si="1"/>
        <v>0</v>
      </c>
      <c r="I17" s="311">
        <f t="shared" si="1"/>
        <v>0</v>
      </c>
      <c r="J17" s="311">
        <f t="shared" si="1"/>
        <v>0</v>
      </c>
      <c r="K17" s="311">
        <f t="shared" si="1"/>
        <v>0</v>
      </c>
      <c r="L17" s="311">
        <f t="shared" si="1"/>
        <v>0</v>
      </c>
      <c r="M17" s="311">
        <f t="shared" si="1"/>
        <v>0</v>
      </c>
    </row>
    <row r="18" spans="1:13" x14ac:dyDescent="0.2">
      <c r="A18" s="311" t="s">
        <v>93</v>
      </c>
      <c r="B18" s="311">
        <f t="shared" si="1"/>
        <v>0.8</v>
      </c>
      <c r="C18" s="311">
        <f t="shared" si="1"/>
        <v>0</v>
      </c>
      <c r="D18" s="311">
        <f t="shared" si="1"/>
        <v>0.2</v>
      </c>
      <c r="E18" s="311">
        <f t="shared" si="1"/>
        <v>0</v>
      </c>
      <c r="F18" s="311">
        <f t="shared" si="1"/>
        <v>0</v>
      </c>
      <c r="G18" s="311">
        <f t="shared" si="1"/>
        <v>0</v>
      </c>
      <c r="H18" s="311">
        <f t="shared" si="1"/>
        <v>0</v>
      </c>
      <c r="I18" s="311">
        <f t="shared" si="1"/>
        <v>0</v>
      </c>
      <c r="J18" s="311">
        <f t="shared" si="1"/>
        <v>0</v>
      </c>
      <c r="K18" s="311">
        <f t="shared" si="1"/>
        <v>0</v>
      </c>
      <c r="L18" s="311">
        <f t="shared" si="1"/>
        <v>0</v>
      </c>
      <c r="M18" s="311">
        <f t="shared" si="1"/>
        <v>0</v>
      </c>
    </row>
    <row r="19" spans="1:13" x14ac:dyDescent="0.2">
      <c r="A19" s="311" t="s">
        <v>211</v>
      </c>
      <c r="B19" s="311">
        <f t="shared" si="1"/>
        <v>1</v>
      </c>
      <c r="C19" s="311">
        <f t="shared" si="1"/>
        <v>0</v>
      </c>
      <c r="D19" s="311">
        <f t="shared" si="1"/>
        <v>0.25</v>
      </c>
      <c r="E19" s="311">
        <f t="shared" si="1"/>
        <v>0</v>
      </c>
      <c r="F19" s="311">
        <f t="shared" si="1"/>
        <v>0</v>
      </c>
      <c r="G19" s="311">
        <f t="shared" si="1"/>
        <v>0</v>
      </c>
      <c r="H19" s="311">
        <f t="shared" si="1"/>
        <v>0</v>
      </c>
      <c r="I19" s="311">
        <f t="shared" si="1"/>
        <v>0</v>
      </c>
      <c r="J19" s="311">
        <f t="shared" si="1"/>
        <v>0</v>
      </c>
      <c r="K19" s="311">
        <f t="shared" si="1"/>
        <v>0</v>
      </c>
      <c r="L19" s="311">
        <f t="shared" si="1"/>
        <v>0</v>
      </c>
      <c r="M19" s="311">
        <f t="shared" si="1"/>
        <v>0</v>
      </c>
    </row>
    <row r="20" spans="1:13" x14ac:dyDescent="0.2">
      <c r="A20" s="311" t="s">
        <v>210</v>
      </c>
      <c r="B20" s="311">
        <f t="shared" si="1"/>
        <v>1.2</v>
      </c>
      <c r="C20" s="311">
        <f t="shared" si="1"/>
        <v>0</v>
      </c>
      <c r="D20" s="311">
        <f t="shared" si="1"/>
        <v>0.3</v>
      </c>
      <c r="E20" s="311">
        <f t="shared" si="1"/>
        <v>0</v>
      </c>
      <c r="F20" s="311">
        <f t="shared" si="1"/>
        <v>0</v>
      </c>
      <c r="G20" s="311">
        <f t="shared" si="1"/>
        <v>0</v>
      </c>
      <c r="H20" s="311">
        <f t="shared" si="1"/>
        <v>0</v>
      </c>
      <c r="I20" s="311">
        <f t="shared" si="1"/>
        <v>0</v>
      </c>
      <c r="J20" s="311">
        <f t="shared" si="1"/>
        <v>0</v>
      </c>
      <c r="K20" s="311">
        <f t="shared" si="1"/>
        <v>0</v>
      </c>
      <c r="L20" s="311">
        <f t="shared" si="1"/>
        <v>0</v>
      </c>
      <c r="M20" s="311">
        <f t="shared" si="1"/>
        <v>0</v>
      </c>
    </row>
    <row r="21" spans="1:13" x14ac:dyDescent="0.2">
      <c r="A21" s="311" t="s">
        <v>260</v>
      </c>
      <c r="B21" s="311">
        <f t="shared" si="1"/>
        <v>1.6</v>
      </c>
      <c r="C21" s="311">
        <f t="shared" si="1"/>
        <v>0</v>
      </c>
      <c r="D21" s="311">
        <f t="shared" si="1"/>
        <v>0.4</v>
      </c>
      <c r="E21" s="311">
        <f t="shared" si="1"/>
        <v>0</v>
      </c>
      <c r="F21" s="311">
        <f t="shared" si="1"/>
        <v>0</v>
      </c>
      <c r="G21" s="311">
        <f t="shared" si="1"/>
        <v>0</v>
      </c>
      <c r="H21" s="311">
        <f t="shared" si="1"/>
        <v>0</v>
      </c>
      <c r="I21" s="311">
        <f t="shared" si="1"/>
        <v>0</v>
      </c>
      <c r="J21" s="311">
        <f t="shared" si="1"/>
        <v>0</v>
      </c>
      <c r="K21" s="311">
        <f t="shared" si="1"/>
        <v>0</v>
      </c>
      <c r="L21" s="311">
        <f t="shared" si="1"/>
        <v>0</v>
      </c>
      <c r="M21" s="311">
        <f t="shared" si="1"/>
        <v>0</v>
      </c>
    </row>
    <row r="22" spans="1:13" x14ac:dyDescent="0.2">
      <c r="A22" s="311" t="s">
        <v>94</v>
      </c>
      <c r="B22" s="311">
        <f t="shared" si="1"/>
        <v>2</v>
      </c>
      <c r="C22" s="311">
        <f t="shared" si="1"/>
        <v>0</v>
      </c>
      <c r="D22" s="311">
        <f t="shared" si="1"/>
        <v>0.5</v>
      </c>
      <c r="E22" s="311">
        <f t="shared" si="1"/>
        <v>0</v>
      </c>
      <c r="F22" s="311">
        <f t="shared" si="1"/>
        <v>0</v>
      </c>
      <c r="G22" s="311">
        <f t="shared" si="1"/>
        <v>0</v>
      </c>
      <c r="H22" s="311">
        <f t="shared" si="1"/>
        <v>0</v>
      </c>
      <c r="I22" s="311">
        <f t="shared" si="1"/>
        <v>0</v>
      </c>
      <c r="J22" s="311">
        <f t="shared" si="1"/>
        <v>0</v>
      </c>
      <c r="K22" s="311">
        <f t="shared" si="1"/>
        <v>0</v>
      </c>
      <c r="L22" s="311">
        <f t="shared" si="1"/>
        <v>0</v>
      </c>
      <c r="M22" s="311">
        <f t="shared" si="1"/>
        <v>0</v>
      </c>
    </row>
    <row r="23" spans="1:13" x14ac:dyDescent="0.2">
      <c r="A23" s="311" t="s">
        <v>448</v>
      </c>
      <c r="B23" s="311">
        <f t="shared" si="1"/>
        <v>0.2</v>
      </c>
      <c r="C23" s="311">
        <f t="shared" si="1"/>
        <v>0</v>
      </c>
      <c r="D23" s="311">
        <f t="shared" si="1"/>
        <v>0.05</v>
      </c>
      <c r="E23" s="311">
        <f t="shared" si="1"/>
        <v>0</v>
      </c>
      <c r="F23" s="311">
        <f t="shared" si="1"/>
        <v>7.6999999999999999E-2</v>
      </c>
      <c r="G23" s="311">
        <f t="shared" si="1"/>
        <v>0</v>
      </c>
      <c r="H23" s="311">
        <f t="shared" si="1"/>
        <v>0</v>
      </c>
      <c r="I23" s="311">
        <f t="shared" si="1"/>
        <v>0</v>
      </c>
      <c r="J23" s="311">
        <f t="shared" si="1"/>
        <v>0</v>
      </c>
      <c r="K23" s="311">
        <f t="shared" si="1"/>
        <v>0</v>
      </c>
      <c r="L23" s="311">
        <f t="shared" si="1"/>
        <v>0</v>
      </c>
      <c r="M23" s="311">
        <f t="shared" si="1"/>
        <v>7.6999999999999999E-2</v>
      </c>
    </row>
    <row r="24" spans="1:13" x14ac:dyDescent="0.2">
      <c r="A24" s="311" t="s">
        <v>449</v>
      </c>
      <c r="B24" s="311">
        <f t="shared" si="1"/>
        <v>0.2</v>
      </c>
      <c r="C24" s="311">
        <f t="shared" si="1"/>
        <v>0</v>
      </c>
      <c r="D24" s="311">
        <f t="shared" si="1"/>
        <v>0.05</v>
      </c>
      <c r="E24" s="311">
        <f t="shared" si="1"/>
        <v>0</v>
      </c>
      <c r="F24" s="311">
        <f t="shared" si="1"/>
        <v>0.155</v>
      </c>
      <c r="G24" s="311">
        <f t="shared" si="1"/>
        <v>0</v>
      </c>
      <c r="H24" s="311">
        <f t="shared" si="1"/>
        <v>0</v>
      </c>
      <c r="I24" s="311">
        <f t="shared" si="1"/>
        <v>0</v>
      </c>
      <c r="J24" s="311">
        <f t="shared" si="1"/>
        <v>0</v>
      </c>
      <c r="K24" s="311">
        <f t="shared" si="1"/>
        <v>0</v>
      </c>
      <c r="L24" s="311">
        <f t="shared" si="1"/>
        <v>0</v>
      </c>
      <c r="M24" s="311">
        <f t="shared" si="1"/>
        <v>0.155</v>
      </c>
    </row>
    <row r="25" spans="1:13" x14ac:dyDescent="0.2">
      <c r="A25" s="311" t="s">
        <v>302</v>
      </c>
      <c r="B25" s="311">
        <f t="shared" si="1"/>
        <v>0</v>
      </c>
      <c r="C25" s="311">
        <f t="shared" si="1"/>
        <v>0</v>
      </c>
      <c r="D25" s="311">
        <f t="shared" si="1"/>
        <v>0</v>
      </c>
      <c r="E25" s="311">
        <f t="shared" si="1"/>
        <v>0</v>
      </c>
      <c r="F25" s="311">
        <f t="shared" si="1"/>
        <v>0.155</v>
      </c>
      <c r="G25" s="311">
        <f t="shared" si="1"/>
        <v>0</v>
      </c>
      <c r="H25" s="311">
        <f t="shared" si="1"/>
        <v>0</v>
      </c>
      <c r="I25" s="311">
        <f t="shared" si="1"/>
        <v>0</v>
      </c>
      <c r="J25" s="311">
        <f t="shared" si="1"/>
        <v>0</v>
      </c>
      <c r="K25" s="311">
        <f t="shared" si="1"/>
        <v>0</v>
      </c>
      <c r="L25" s="311">
        <f t="shared" si="1"/>
        <v>0</v>
      </c>
      <c r="M25" s="311">
        <f t="shared" si="1"/>
        <v>0.155</v>
      </c>
    </row>
    <row r="26" spans="1:13" x14ac:dyDescent="0.2">
      <c r="A26" s="6" t="s">
        <v>450</v>
      </c>
      <c r="B26" s="311">
        <f t="shared" si="1"/>
        <v>0</v>
      </c>
      <c r="C26" s="311">
        <f t="shared" si="1"/>
        <v>0</v>
      </c>
      <c r="D26" s="311">
        <f t="shared" si="1"/>
        <v>0</v>
      </c>
      <c r="E26" s="311">
        <f t="shared" si="1"/>
        <v>0</v>
      </c>
      <c r="F26" s="311">
        <f t="shared" si="1"/>
        <v>0.13100000000000001</v>
      </c>
      <c r="G26" s="311">
        <f t="shared" si="1"/>
        <v>5.4000000000000003E-3</v>
      </c>
      <c r="H26" s="311">
        <f t="shared" si="1"/>
        <v>0</v>
      </c>
      <c r="I26" s="311">
        <f t="shared" si="1"/>
        <v>0</v>
      </c>
      <c r="J26" s="311">
        <f t="shared" si="1"/>
        <v>0</v>
      </c>
      <c r="K26" s="311">
        <f t="shared" si="1"/>
        <v>0</v>
      </c>
      <c r="L26" s="311">
        <f t="shared" si="1"/>
        <v>0</v>
      </c>
      <c r="M26" s="311">
        <f t="shared" si="1"/>
        <v>0.109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5" sqref="F25"/>
    </sheetView>
  </sheetViews>
  <sheetFormatPr defaultColWidth="9.140625" defaultRowHeight="12.75" x14ac:dyDescent="0.2"/>
  <cols>
    <col min="1" max="1" width="22.140625" style="335" bestFit="1" customWidth="1"/>
    <col min="2" max="2" width="8.5703125" style="335" customWidth="1"/>
    <col min="3" max="3" width="9.140625" style="335"/>
    <col min="4" max="5" width="32.85546875" style="335" customWidth="1"/>
    <col min="6" max="16384" width="9.140625" style="335"/>
  </cols>
  <sheetData>
    <row r="1" spans="1:17" x14ac:dyDescent="0.2">
      <c r="A1" s="835" t="s">
        <v>204</v>
      </c>
      <c r="B1" s="835"/>
      <c r="E1" s="335">
        <v>1</v>
      </c>
      <c r="F1" s="335">
        <v>2</v>
      </c>
      <c r="G1" s="335">
        <v>3</v>
      </c>
      <c r="H1" s="335">
        <v>4</v>
      </c>
      <c r="I1" s="335">
        <v>5</v>
      </c>
      <c r="J1" s="335">
        <v>6</v>
      </c>
      <c r="K1" s="335">
        <v>7</v>
      </c>
      <c r="L1" s="335">
        <v>8</v>
      </c>
      <c r="M1" s="335">
        <v>9</v>
      </c>
      <c r="N1" s="335">
        <v>10</v>
      </c>
      <c r="O1" s="335">
        <v>11</v>
      </c>
      <c r="P1" s="335">
        <v>12</v>
      </c>
      <c r="Q1" s="335">
        <v>13</v>
      </c>
    </row>
    <row r="2" spans="1:17" x14ac:dyDescent="0.2">
      <c r="A2" s="150" t="s">
        <v>484</v>
      </c>
      <c r="B2" s="150"/>
      <c r="C2" s="836" t="s">
        <v>5035</v>
      </c>
      <c r="D2" s="836"/>
      <c r="F2" s="335" t="s">
        <v>227</v>
      </c>
      <c r="G2" s="335" t="s">
        <v>189</v>
      </c>
      <c r="H2" s="335" t="s">
        <v>228</v>
      </c>
      <c r="I2" s="335" t="s">
        <v>190</v>
      </c>
      <c r="J2" s="335" t="s">
        <v>222</v>
      </c>
      <c r="K2" s="335" t="s">
        <v>223</v>
      </c>
      <c r="L2" s="335" t="s">
        <v>224</v>
      </c>
      <c r="M2" s="335" t="s">
        <v>229</v>
      </c>
      <c r="N2" s="335" t="s">
        <v>225</v>
      </c>
      <c r="O2" s="335" t="s">
        <v>859</v>
      </c>
      <c r="P2" s="335" t="s">
        <v>860</v>
      </c>
      <c r="Q2" s="335" t="s">
        <v>574</v>
      </c>
    </row>
    <row r="3" spans="1:17" x14ac:dyDescent="0.2">
      <c r="A3" s="150" t="s">
        <v>485</v>
      </c>
      <c r="B3" s="150"/>
      <c r="D3" s="335" t="s">
        <v>5044</v>
      </c>
      <c r="F3" s="335" t="str">
        <f t="shared" ref="F3:Q3" si="0">VLOOKUP(F$2,Tbl_Glob_Conversie,3,FALSE)</f>
        <v>kcal</v>
      </c>
      <c r="G3" s="335" t="str">
        <f t="shared" si="0"/>
        <v>gram</v>
      </c>
      <c r="H3" s="335" t="str">
        <f t="shared" si="0"/>
        <v>gram</v>
      </c>
      <c r="I3" s="335" t="str">
        <f t="shared" si="0"/>
        <v>gram</v>
      </c>
      <c r="J3" s="335" t="str">
        <f t="shared" si="0"/>
        <v>mmol</v>
      </c>
      <c r="K3" s="335" t="str">
        <f t="shared" si="0"/>
        <v>mmol</v>
      </c>
      <c r="L3" s="335" t="str">
        <f t="shared" si="0"/>
        <v>mmol</v>
      </c>
      <c r="M3" s="335" t="str">
        <f t="shared" si="0"/>
        <v>mmol</v>
      </c>
      <c r="N3" s="335" t="str">
        <f t="shared" si="0"/>
        <v>mmol</v>
      </c>
      <c r="O3" s="335" t="str">
        <f t="shared" si="0"/>
        <v>mmol</v>
      </c>
      <c r="P3" s="335" t="str">
        <f t="shared" si="0"/>
        <v>IE</v>
      </c>
      <c r="Q3" s="335" t="str">
        <f t="shared" si="0"/>
        <v>mmol</v>
      </c>
    </row>
    <row r="4" spans="1:17" x14ac:dyDescent="0.2">
      <c r="A4" s="150" t="s">
        <v>486</v>
      </c>
      <c r="B4" s="150"/>
    </row>
    <row r="5" spans="1:17" x14ac:dyDescent="0.2">
      <c r="A5" s="150" t="s">
        <v>487</v>
      </c>
      <c r="B5" s="150"/>
      <c r="C5" s="335" t="s">
        <v>862</v>
      </c>
      <c r="D5" s="335" t="str">
        <f t="shared" ref="D5:D28" si="1">IF(ISBLANK(C5),E5,C5&amp;": "&amp;E5)</f>
        <v>&lt;10 kg: MM</v>
      </c>
      <c r="E5" s="335" t="s">
        <v>162</v>
      </c>
      <c r="F5" s="335">
        <f t="shared" ref="F5:Q14" si="2">VLOOKUP($E5,Tbl_Glob_BerVoeding,F$1,FALSE)</f>
        <v>0.68</v>
      </c>
      <c r="G5" s="335">
        <f t="shared" si="2"/>
        <v>0.01</v>
      </c>
      <c r="H5" s="335">
        <f t="shared" si="2"/>
        <v>7.0000000000000007E-2</v>
      </c>
      <c r="I5" s="335">
        <f t="shared" si="2"/>
        <v>0.04</v>
      </c>
      <c r="J5" s="335">
        <f t="shared" si="2"/>
        <v>8.6956000000000012E-3</v>
      </c>
      <c r="K5" s="335">
        <f t="shared" si="2"/>
        <v>1.2820500000000002E-2</v>
      </c>
      <c r="L5" s="335">
        <f t="shared" si="2"/>
        <v>7.4700000000000001E-3</v>
      </c>
      <c r="M5" s="335">
        <f t="shared" si="2"/>
        <v>4.8433499999999997E-3</v>
      </c>
      <c r="N5" s="335">
        <f t="shared" si="2"/>
        <v>1.23423E-3</v>
      </c>
      <c r="O5" s="335">
        <f t="shared" si="2"/>
        <v>1.7899999999999998E-5</v>
      </c>
      <c r="P5" s="335">
        <f t="shared" si="2"/>
        <v>0</v>
      </c>
      <c r="Q5" s="335">
        <f t="shared" si="2"/>
        <v>1.212858E-2</v>
      </c>
    </row>
    <row r="6" spans="1:17" x14ac:dyDescent="0.2">
      <c r="A6" s="150" t="s">
        <v>992</v>
      </c>
      <c r="B6" s="150"/>
      <c r="C6" s="335" t="s">
        <v>863</v>
      </c>
      <c r="D6" s="335" t="str">
        <f t="shared" si="1"/>
        <v>&lt;3,5 kg: Nutrilon Nenatal Start</v>
      </c>
      <c r="E6" s="335" t="s">
        <v>864</v>
      </c>
      <c r="F6" s="335">
        <f t="shared" si="2"/>
        <v>0.8</v>
      </c>
      <c r="G6" s="335">
        <f t="shared" si="2"/>
        <v>2.6000000000000002E-2</v>
      </c>
      <c r="H6" s="335">
        <f t="shared" si="2"/>
        <v>8.4000000000000005E-2</v>
      </c>
      <c r="I6" s="335">
        <f t="shared" si="2"/>
        <v>3.9E-2</v>
      </c>
      <c r="J6" s="335">
        <f t="shared" si="2"/>
        <v>3.0434599999999999E-2</v>
      </c>
      <c r="K6" s="335">
        <f t="shared" si="2"/>
        <v>2.0512800000000001E-2</v>
      </c>
      <c r="L6" s="335">
        <f t="shared" si="2"/>
        <v>2.4899999999999999E-2</v>
      </c>
      <c r="M6" s="335">
        <f t="shared" si="2"/>
        <v>1.8081839999999998E-2</v>
      </c>
      <c r="N6" s="335">
        <f t="shared" si="2"/>
        <v>3.2912799999999997E-3</v>
      </c>
      <c r="O6" s="335">
        <f t="shared" si="2"/>
        <v>2.8639999999999997E-4</v>
      </c>
      <c r="P6" s="335">
        <f t="shared" si="2"/>
        <v>1.2</v>
      </c>
      <c r="Q6" s="335">
        <f t="shared" si="2"/>
        <v>2.3975099999999999E-2</v>
      </c>
    </row>
    <row r="7" spans="1:17" x14ac:dyDescent="0.2">
      <c r="C7" s="335" t="s">
        <v>863</v>
      </c>
      <c r="D7" s="335" t="str">
        <f t="shared" si="1"/>
        <v>&lt;3,5 kg: Nutrilon Nenatal 1</v>
      </c>
      <c r="E7" s="456" t="s">
        <v>865</v>
      </c>
      <c r="F7" s="335">
        <f t="shared" si="2"/>
        <v>0.75</v>
      </c>
      <c r="G7" s="335">
        <f t="shared" si="2"/>
        <v>0.02</v>
      </c>
      <c r="H7" s="335">
        <f t="shared" si="2"/>
        <v>7.4999999999999997E-2</v>
      </c>
      <c r="I7" s="335">
        <f t="shared" si="2"/>
        <v>0.04</v>
      </c>
      <c r="J7" s="335">
        <f t="shared" si="2"/>
        <v>1.217384E-2</v>
      </c>
      <c r="K7" s="335">
        <f t="shared" si="2"/>
        <v>1.9743570000000002E-2</v>
      </c>
      <c r="L7" s="335">
        <f t="shared" si="2"/>
        <v>2.1662999999999998E-2</v>
      </c>
      <c r="M7" s="335">
        <f t="shared" si="2"/>
        <v>1.517583E-2</v>
      </c>
      <c r="N7" s="335">
        <f t="shared" si="2"/>
        <v>2.8798700000000001E-3</v>
      </c>
      <c r="O7" s="335">
        <f t="shared" si="2"/>
        <v>2.1479999999999999E-4</v>
      </c>
      <c r="P7" s="335">
        <f t="shared" si="2"/>
        <v>0.68</v>
      </c>
      <c r="Q7" s="335">
        <f t="shared" si="2"/>
        <v>1.5513299999999999E-2</v>
      </c>
    </row>
    <row r="8" spans="1:17" x14ac:dyDescent="0.2">
      <c r="D8" s="335" t="str">
        <f t="shared" si="1"/>
        <v>Nutrilon Hypoallergeen 1</v>
      </c>
      <c r="E8" s="837" t="s">
        <v>866</v>
      </c>
      <c r="F8" s="335">
        <f t="shared" si="2"/>
        <v>0.66</v>
      </c>
      <c r="G8" s="335">
        <f t="shared" si="2"/>
        <v>1.4999999999999999E-2</v>
      </c>
      <c r="H8" s="335">
        <f t="shared" si="2"/>
        <v>7.2000000000000008E-2</v>
      </c>
      <c r="I8" s="335">
        <f t="shared" si="2"/>
        <v>3.4000000000000002E-2</v>
      </c>
      <c r="J8" s="335">
        <f t="shared" si="2"/>
        <v>1.0869500000000001E-2</v>
      </c>
      <c r="K8" s="335">
        <f t="shared" si="2"/>
        <v>1.8717930000000001E-2</v>
      </c>
      <c r="L8" s="335">
        <f t="shared" si="2"/>
        <v>1.1453999999999999E-2</v>
      </c>
      <c r="M8" s="335">
        <f t="shared" si="2"/>
        <v>8.3951400000000006E-3</v>
      </c>
      <c r="N8" s="335">
        <f t="shared" si="2"/>
        <v>2.0981909999999997E-3</v>
      </c>
      <c r="O8" s="335">
        <f t="shared" si="2"/>
        <v>9.4870000000000005E-5</v>
      </c>
      <c r="P8" s="335">
        <f t="shared" si="2"/>
        <v>0.48</v>
      </c>
      <c r="Q8" s="335">
        <f t="shared" si="2"/>
        <v>1.1564459999999999E-2</v>
      </c>
    </row>
    <row r="9" spans="1:17" x14ac:dyDescent="0.2">
      <c r="C9" s="335" t="s">
        <v>474</v>
      </c>
      <c r="D9" s="335" t="str">
        <f t="shared" si="1"/>
        <v>3,5-10 kg: Nutrilon Standaard 1</v>
      </c>
      <c r="E9" s="335" t="s">
        <v>577</v>
      </c>
      <c r="F9" s="335">
        <f t="shared" si="2"/>
        <v>0.66</v>
      </c>
      <c r="G9" s="335">
        <f t="shared" si="2"/>
        <v>1.3000000000000001E-2</v>
      </c>
      <c r="H9" s="335">
        <f t="shared" si="2"/>
        <v>7.2999999999999995E-2</v>
      </c>
      <c r="I9" s="335">
        <f t="shared" si="2"/>
        <v>3.4000000000000002E-2</v>
      </c>
      <c r="J9" s="335">
        <f t="shared" si="2"/>
        <v>7.3912600000000002E-3</v>
      </c>
      <c r="K9" s="335">
        <f t="shared" si="2"/>
        <v>1.7435880000000001E-2</v>
      </c>
      <c r="L9" s="335">
        <f t="shared" si="2"/>
        <v>1.4193000000000001E-2</v>
      </c>
      <c r="M9" s="335">
        <f t="shared" si="2"/>
        <v>1.033248E-2</v>
      </c>
      <c r="N9" s="335">
        <f t="shared" si="2"/>
        <v>2.0981909999999997E-3</v>
      </c>
      <c r="O9" s="335">
        <f t="shared" si="2"/>
        <v>6.981E-4</v>
      </c>
      <c r="P9" s="335">
        <f t="shared" si="2"/>
        <v>3.48</v>
      </c>
      <c r="Q9" s="335">
        <f t="shared" si="2"/>
        <v>1.1846520000000001E-2</v>
      </c>
    </row>
    <row r="10" spans="1:17" x14ac:dyDescent="0.2">
      <c r="C10" s="836" t="s">
        <v>474</v>
      </c>
      <c r="D10" s="335" t="str">
        <f t="shared" si="1"/>
        <v>3,5-10 kg: Nutrilon Standaard 2</v>
      </c>
      <c r="E10" s="335" t="s">
        <v>929</v>
      </c>
      <c r="F10" s="335">
        <f t="shared" si="2"/>
        <v>0.68</v>
      </c>
      <c r="G10" s="335">
        <f t="shared" si="2"/>
        <v>1.3999999999999999E-2</v>
      </c>
      <c r="H10" s="335">
        <f t="shared" si="2"/>
        <v>8.5999999999999993E-2</v>
      </c>
      <c r="I10" s="335">
        <f t="shared" si="2"/>
        <v>0.03</v>
      </c>
      <c r="J10" s="335">
        <f t="shared" si="2"/>
        <v>9.9999400000000006E-3</v>
      </c>
      <c r="K10" s="335">
        <f t="shared" si="2"/>
        <v>1.8974339999999999E-2</v>
      </c>
      <c r="L10" s="335">
        <f t="shared" si="2"/>
        <v>1.6184999999999998E-2</v>
      </c>
      <c r="M10" s="335">
        <f t="shared" si="2"/>
        <v>1.162404E-2</v>
      </c>
      <c r="N10" s="335">
        <f t="shared" si="2"/>
        <v>1.974768E-3</v>
      </c>
      <c r="O10" s="335">
        <f t="shared" si="2"/>
        <v>1.253E-3</v>
      </c>
      <c r="P10" s="335">
        <f t="shared" si="2"/>
        <v>0.56000000000000005</v>
      </c>
      <c r="Q10" s="335">
        <f t="shared" si="2"/>
        <v>1.3256820000000001E-2</v>
      </c>
    </row>
    <row r="11" spans="1:17" x14ac:dyDescent="0.2">
      <c r="C11" s="335" t="s">
        <v>862</v>
      </c>
      <c r="D11" s="335" t="str">
        <f t="shared" si="1"/>
        <v>&lt;10 kg: Infatrini</v>
      </c>
      <c r="E11" s="335" t="s">
        <v>17</v>
      </c>
      <c r="F11" s="335">
        <f t="shared" si="2"/>
        <v>1</v>
      </c>
      <c r="G11" s="335">
        <f t="shared" si="2"/>
        <v>2.6000000000000002E-2</v>
      </c>
      <c r="H11" s="335">
        <f t="shared" si="2"/>
        <v>0.10300000000000001</v>
      </c>
      <c r="I11" s="335">
        <f t="shared" si="2"/>
        <v>5.4000000000000006E-2</v>
      </c>
      <c r="J11" s="335">
        <f t="shared" si="2"/>
        <v>1.6086860000000001E-2</v>
      </c>
      <c r="K11" s="335">
        <f t="shared" si="2"/>
        <v>2.4358950000000001E-2</v>
      </c>
      <c r="L11" s="335">
        <f t="shared" si="2"/>
        <v>2.4899999999999999E-2</v>
      </c>
      <c r="M11" s="335">
        <f t="shared" si="2"/>
        <v>1.6144499999999999E-2</v>
      </c>
      <c r="N11" s="335">
        <f t="shared" si="2"/>
        <v>3.7026899999999998E-3</v>
      </c>
      <c r="O11" s="335">
        <f t="shared" si="2"/>
        <v>2.1479999999999999E-4</v>
      </c>
      <c r="P11" s="335">
        <f t="shared" si="2"/>
        <v>0.76</v>
      </c>
      <c r="Q11" s="335">
        <f t="shared" si="2"/>
        <v>1.7487719999999998E-2</v>
      </c>
    </row>
    <row r="12" spans="1:17" x14ac:dyDescent="0.2">
      <c r="C12" s="335" t="s">
        <v>862</v>
      </c>
      <c r="D12" s="335" t="str">
        <f t="shared" si="1"/>
        <v>&lt;10 kg: Infatrini Peptisorb</v>
      </c>
      <c r="E12" s="335" t="s">
        <v>946</v>
      </c>
      <c r="F12" s="335">
        <f t="shared" si="2"/>
        <v>1</v>
      </c>
      <c r="G12" s="335">
        <f t="shared" si="2"/>
        <v>2.6000000000000002E-2</v>
      </c>
      <c r="H12" s="335">
        <f t="shared" si="2"/>
        <v>0.10300000000000001</v>
      </c>
      <c r="I12" s="335">
        <f t="shared" si="2"/>
        <v>5.4000000000000006E-2</v>
      </c>
      <c r="J12" s="335">
        <f t="shared" si="2"/>
        <v>1.391296E-2</v>
      </c>
      <c r="K12" s="335">
        <f t="shared" si="2"/>
        <v>2.769228E-2</v>
      </c>
      <c r="L12" s="335">
        <f t="shared" si="2"/>
        <v>1.992E-2</v>
      </c>
      <c r="M12" s="335">
        <f t="shared" si="2"/>
        <v>1.2915600000000001E-2</v>
      </c>
      <c r="N12" s="335">
        <f t="shared" si="2"/>
        <v>3.2912799999999997E-3</v>
      </c>
      <c r="O12" s="335">
        <f t="shared" si="2"/>
        <v>1.7899999999999999E-4</v>
      </c>
      <c r="P12" s="335">
        <f t="shared" si="2"/>
        <v>0.68</v>
      </c>
      <c r="Q12" s="335">
        <f t="shared" si="2"/>
        <v>1.805184E-2</v>
      </c>
    </row>
    <row r="13" spans="1:17" x14ac:dyDescent="0.2">
      <c r="C13" s="335" t="s">
        <v>862</v>
      </c>
      <c r="D13" s="335" t="str">
        <f t="shared" si="1"/>
        <v>&lt;10 kg: Nutrilon Pepti 1</v>
      </c>
      <c r="E13" s="335" t="s">
        <v>941</v>
      </c>
      <c r="F13" s="335">
        <f t="shared" si="2"/>
        <v>0.67</v>
      </c>
      <c r="G13" s="335">
        <f t="shared" si="2"/>
        <v>1.6E-2</v>
      </c>
      <c r="H13" s="335">
        <f t="shared" si="2"/>
        <v>7.0000000000000007E-2</v>
      </c>
      <c r="I13" s="335">
        <f t="shared" si="2"/>
        <v>3.5000000000000003E-2</v>
      </c>
      <c r="J13" s="335">
        <f t="shared" si="2"/>
        <v>8.6956000000000012E-3</v>
      </c>
      <c r="K13" s="335">
        <f t="shared" si="2"/>
        <v>2.076921E-2</v>
      </c>
      <c r="L13" s="335">
        <f t="shared" si="2"/>
        <v>1.1702999999999998E-2</v>
      </c>
      <c r="M13" s="335">
        <f t="shared" si="2"/>
        <v>8.3951400000000006E-3</v>
      </c>
      <c r="N13" s="335">
        <f t="shared" si="2"/>
        <v>2.1804729999999996E-3</v>
      </c>
      <c r="O13" s="335">
        <f t="shared" si="2"/>
        <v>9.4870000000000005E-5</v>
      </c>
      <c r="P13" s="335">
        <f t="shared" si="2"/>
        <v>0.52</v>
      </c>
      <c r="Q13" s="335">
        <f t="shared" si="2"/>
        <v>1.12824E-2</v>
      </c>
    </row>
    <row r="14" spans="1:17" x14ac:dyDescent="0.2">
      <c r="C14" s="335" t="s">
        <v>475</v>
      </c>
      <c r="D14" s="335" t="str">
        <f t="shared" si="1"/>
        <v>10-20 kg: Nutrini Multi Fibre</v>
      </c>
      <c r="E14" s="335" t="s">
        <v>476</v>
      </c>
      <c r="F14" s="335">
        <f t="shared" si="2"/>
        <v>1.01</v>
      </c>
      <c r="G14" s="335">
        <f t="shared" si="2"/>
        <v>2.7000000000000003E-2</v>
      </c>
      <c r="H14" s="335">
        <f t="shared" si="2"/>
        <v>0.12300000000000001</v>
      </c>
      <c r="I14" s="335">
        <f t="shared" si="2"/>
        <v>4.4000000000000004E-2</v>
      </c>
      <c r="J14" s="335">
        <f t="shared" si="2"/>
        <v>2.60868E-2</v>
      </c>
      <c r="K14" s="335">
        <f t="shared" si="2"/>
        <v>2.82051E-2</v>
      </c>
      <c r="L14" s="335">
        <f t="shared" si="2"/>
        <v>1.494E-2</v>
      </c>
      <c r="M14" s="335">
        <f t="shared" si="2"/>
        <v>1.6144499999999999E-2</v>
      </c>
      <c r="N14" s="335">
        <f t="shared" si="2"/>
        <v>4.5255099999999999E-3</v>
      </c>
      <c r="O14" s="335">
        <f t="shared" si="2"/>
        <v>1.7899999999999999E-4</v>
      </c>
      <c r="P14" s="335">
        <f t="shared" si="2"/>
        <v>0.4</v>
      </c>
      <c r="Q14" s="335">
        <f t="shared" si="2"/>
        <v>2.6795699999999999E-2</v>
      </c>
    </row>
    <row r="15" spans="1:17" x14ac:dyDescent="0.2">
      <c r="C15" s="335" t="s">
        <v>475</v>
      </c>
      <c r="D15" s="335" t="str">
        <f t="shared" si="1"/>
        <v>10-20 kg: Nutrini Energy Multi Fibre</v>
      </c>
      <c r="E15" s="335" t="s">
        <v>477</v>
      </c>
      <c r="F15" s="335">
        <f t="shared" ref="F15:Q27" si="3">VLOOKUP($E15,Tbl_Glob_BerVoeding,F$1,FALSE)</f>
        <v>1.51</v>
      </c>
      <c r="G15" s="335">
        <f t="shared" si="3"/>
        <v>0.04</v>
      </c>
      <c r="H15" s="335">
        <f t="shared" si="3"/>
        <v>0.185</v>
      </c>
      <c r="I15" s="335">
        <f t="shared" si="3"/>
        <v>6.7000000000000004E-2</v>
      </c>
      <c r="J15" s="335">
        <f t="shared" si="3"/>
        <v>3.9130200000000004E-2</v>
      </c>
      <c r="K15" s="335">
        <f t="shared" si="3"/>
        <v>4.2307650000000002E-2</v>
      </c>
      <c r="L15" s="335">
        <f t="shared" si="3"/>
        <v>2.2409999999999996E-2</v>
      </c>
      <c r="M15" s="335">
        <f t="shared" si="3"/>
        <v>2.4216749999999999E-2</v>
      </c>
      <c r="N15" s="335">
        <f t="shared" si="3"/>
        <v>6.9939699999999995E-3</v>
      </c>
      <c r="O15" s="335">
        <f t="shared" si="3"/>
        <v>2.6849999999999997E-4</v>
      </c>
      <c r="P15" s="335">
        <f t="shared" si="3"/>
        <v>0.6</v>
      </c>
      <c r="Q15" s="335">
        <f t="shared" si="3"/>
        <v>4.0334579999999995E-2</v>
      </c>
    </row>
    <row r="16" spans="1:17" x14ac:dyDescent="0.2">
      <c r="C16" s="335" t="s">
        <v>475</v>
      </c>
      <c r="D16" s="335" t="str">
        <f t="shared" si="1"/>
        <v>10-20 kg: Nutrini Peptisorb</v>
      </c>
      <c r="E16" s="335" t="s">
        <v>947</v>
      </c>
      <c r="F16" s="335">
        <f t="shared" si="3"/>
        <v>1</v>
      </c>
      <c r="G16" s="335">
        <f t="shared" si="3"/>
        <v>2.7999999999999997E-2</v>
      </c>
      <c r="H16" s="335">
        <f t="shared" si="3"/>
        <v>0.13699999999999998</v>
      </c>
      <c r="I16" s="335">
        <f t="shared" si="3"/>
        <v>3.9E-2</v>
      </c>
      <c r="J16" s="335">
        <f t="shared" si="3"/>
        <v>2.60868E-2</v>
      </c>
      <c r="K16" s="335">
        <f t="shared" si="3"/>
        <v>2.82051E-2</v>
      </c>
      <c r="L16" s="335">
        <f t="shared" si="3"/>
        <v>1.494E-2</v>
      </c>
      <c r="M16" s="335">
        <f t="shared" si="3"/>
        <v>1.6144499999999999E-2</v>
      </c>
      <c r="N16" s="335">
        <f t="shared" si="3"/>
        <v>4.5255099999999999E-3</v>
      </c>
      <c r="O16" s="335">
        <f t="shared" si="3"/>
        <v>1.7899999999999999E-4</v>
      </c>
      <c r="P16" s="335">
        <f t="shared" si="3"/>
        <v>0.4</v>
      </c>
      <c r="Q16" s="335">
        <f t="shared" si="3"/>
        <v>2.6795699999999999E-2</v>
      </c>
    </row>
    <row r="17" spans="3:17" x14ac:dyDescent="0.2">
      <c r="C17" s="335" t="s">
        <v>475</v>
      </c>
      <c r="D17" s="335" t="str">
        <f t="shared" si="1"/>
        <v>10-20 kg: Nutrilon Pepti 2</v>
      </c>
      <c r="E17" s="335" t="s">
        <v>959</v>
      </c>
      <c r="F17" s="335">
        <f t="shared" si="3"/>
        <v>0.68</v>
      </c>
      <c r="G17" s="335">
        <f t="shared" si="3"/>
        <v>1.6E-2</v>
      </c>
      <c r="H17" s="335">
        <f t="shared" si="3"/>
        <v>8.1000000000000003E-2</v>
      </c>
      <c r="I17" s="335">
        <f t="shared" si="3"/>
        <v>3.1E-2</v>
      </c>
      <c r="J17" s="335">
        <f t="shared" si="3"/>
        <v>1.0869500000000001E-2</v>
      </c>
      <c r="K17" s="335">
        <f t="shared" si="3"/>
        <v>1.9999980000000001E-2</v>
      </c>
      <c r="L17" s="335">
        <f t="shared" si="3"/>
        <v>1.5687E-2</v>
      </c>
      <c r="M17" s="335">
        <f t="shared" si="3"/>
        <v>1.194693E-2</v>
      </c>
      <c r="N17" s="335">
        <f t="shared" si="3"/>
        <v>2.262755E-3</v>
      </c>
      <c r="O17" s="335">
        <f t="shared" si="3"/>
        <v>1.7899999999999999E-4</v>
      </c>
      <c r="P17" s="335">
        <f t="shared" si="3"/>
        <v>0.56000000000000005</v>
      </c>
      <c r="Q17" s="335">
        <f t="shared" si="3"/>
        <v>1.1846520000000001E-2</v>
      </c>
    </row>
    <row r="18" spans="3:17" x14ac:dyDescent="0.2">
      <c r="C18" s="335" t="s">
        <v>478</v>
      </c>
      <c r="D18" s="335" t="str">
        <f t="shared" si="1"/>
        <v>20-45 kg: NutriniMax Multi Fibre</v>
      </c>
      <c r="E18" s="335" t="s">
        <v>479</v>
      </c>
      <c r="F18" s="335">
        <f t="shared" si="3"/>
        <v>1.02</v>
      </c>
      <c r="G18" s="335">
        <f t="shared" si="3"/>
        <v>3.3000000000000002E-2</v>
      </c>
      <c r="H18" s="335">
        <f t="shared" si="3"/>
        <v>0.12300000000000001</v>
      </c>
      <c r="I18" s="335">
        <f t="shared" si="3"/>
        <v>4.2000000000000003E-2</v>
      </c>
      <c r="J18" s="335">
        <f t="shared" si="3"/>
        <v>3.4782400000000005E-2</v>
      </c>
      <c r="K18" s="335">
        <f t="shared" si="3"/>
        <v>3.5384579999999999E-2</v>
      </c>
      <c r="L18" s="335">
        <f t="shared" si="3"/>
        <v>1.7429999999999998E-2</v>
      </c>
      <c r="M18" s="335">
        <f t="shared" si="3"/>
        <v>1.9373399999999999E-2</v>
      </c>
      <c r="N18" s="335">
        <f t="shared" si="3"/>
        <v>6.9939699999999995E-3</v>
      </c>
      <c r="O18" s="335">
        <f t="shared" si="3"/>
        <v>2.3269999999999999E-4</v>
      </c>
      <c r="P18" s="335">
        <f t="shared" si="3"/>
        <v>0.28000000000000003</v>
      </c>
      <c r="Q18" s="335">
        <f t="shared" si="3"/>
        <v>3.5257499999999997E-2</v>
      </c>
    </row>
    <row r="19" spans="3:17" x14ac:dyDescent="0.2">
      <c r="C19" s="335" t="s">
        <v>478</v>
      </c>
      <c r="D19" s="335" t="str">
        <f t="shared" si="1"/>
        <v>20-45 kg: NutriniMax Energy Multi Fibre</v>
      </c>
      <c r="E19" s="335" t="s">
        <v>480</v>
      </c>
      <c r="F19" s="335">
        <f t="shared" si="3"/>
        <v>1.52</v>
      </c>
      <c r="G19" s="335">
        <f t="shared" si="3"/>
        <v>4.8000000000000001E-2</v>
      </c>
      <c r="H19" s="335">
        <f t="shared" si="3"/>
        <v>0.185</v>
      </c>
      <c r="I19" s="335">
        <f t="shared" si="3"/>
        <v>6.3E-2</v>
      </c>
      <c r="J19" s="335">
        <f t="shared" si="3"/>
        <v>4.6521460000000001E-2</v>
      </c>
      <c r="K19" s="335">
        <f t="shared" si="3"/>
        <v>4.769226E-2</v>
      </c>
      <c r="L19" s="335">
        <f t="shared" si="3"/>
        <v>2.3654999999999999E-2</v>
      </c>
      <c r="M19" s="335">
        <f t="shared" si="3"/>
        <v>2.9060099999999998E-2</v>
      </c>
      <c r="N19" s="335">
        <f t="shared" si="3"/>
        <v>1.069666E-2</v>
      </c>
      <c r="O19" s="335">
        <f t="shared" si="3"/>
        <v>3.5799999999999997E-4</v>
      </c>
      <c r="P19" s="335">
        <f t="shared" si="3"/>
        <v>0.44</v>
      </c>
      <c r="Q19" s="335">
        <f t="shared" si="3"/>
        <v>4.1462819999999991E-2</v>
      </c>
    </row>
    <row r="20" spans="3:17" x14ac:dyDescent="0.2">
      <c r="C20" s="335" t="s">
        <v>478</v>
      </c>
      <c r="D20" s="335" t="str">
        <f t="shared" si="1"/>
        <v>20-45 kg: Nutrini Peptisorb</v>
      </c>
      <c r="E20" s="335" t="s">
        <v>947</v>
      </c>
      <c r="F20" s="335">
        <f t="shared" si="3"/>
        <v>1</v>
      </c>
      <c r="G20" s="335">
        <f t="shared" si="3"/>
        <v>2.7999999999999997E-2</v>
      </c>
      <c r="H20" s="335">
        <f t="shared" si="3"/>
        <v>0.13699999999999998</v>
      </c>
      <c r="I20" s="335">
        <f t="shared" si="3"/>
        <v>3.9E-2</v>
      </c>
      <c r="J20" s="335">
        <f t="shared" si="3"/>
        <v>2.60868E-2</v>
      </c>
      <c r="K20" s="335">
        <f t="shared" si="3"/>
        <v>2.82051E-2</v>
      </c>
      <c r="L20" s="335">
        <f t="shared" si="3"/>
        <v>1.494E-2</v>
      </c>
      <c r="M20" s="335">
        <f t="shared" si="3"/>
        <v>1.6144499999999999E-2</v>
      </c>
      <c r="N20" s="335">
        <f t="shared" si="3"/>
        <v>4.5255099999999999E-3</v>
      </c>
      <c r="O20" s="335">
        <f t="shared" si="3"/>
        <v>1.7899999999999999E-4</v>
      </c>
      <c r="P20" s="335">
        <f t="shared" si="3"/>
        <v>0.4</v>
      </c>
      <c r="Q20" s="335">
        <f t="shared" si="3"/>
        <v>2.6795699999999999E-2</v>
      </c>
    </row>
    <row r="21" spans="3:17" x14ac:dyDescent="0.2">
      <c r="C21" s="335" t="s">
        <v>478</v>
      </c>
      <c r="D21" s="335" t="str">
        <f t="shared" si="1"/>
        <v>20-45 kg: Nutrilon Pepti 2</v>
      </c>
      <c r="E21" s="335" t="s">
        <v>959</v>
      </c>
      <c r="F21" s="335">
        <f t="shared" si="3"/>
        <v>0.68</v>
      </c>
      <c r="G21" s="335">
        <f t="shared" si="3"/>
        <v>1.6E-2</v>
      </c>
      <c r="H21" s="335">
        <f t="shared" si="3"/>
        <v>8.1000000000000003E-2</v>
      </c>
      <c r="I21" s="335">
        <f t="shared" si="3"/>
        <v>3.1E-2</v>
      </c>
      <c r="J21" s="335">
        <f t="shared" si="3"/>
        <v>1.0869500000000001E-2</v>
      </c>
      <c r="K21" s="335">
        <f t="shared" si="3"/>
        <v>1.9999980000000001E-2</v>
      </c>
      <c r="L21" s="335">
        <f t="shared" si="3"/>
        <v>1.5687E-2</v>
      </c>
      <c r="M21" s="335">
        <f t="shared" si="3"/>
        <v>1.194693E-2</v>
      </c>
      <c r="N21" s="335">
        <f t="shared" si="3"/>
        <v>2.262755E-3</v>
      </c>
      <c r="O21" s="335">
        <f t="shared" si="3"/>
        <v>1.7899999999999999E-4</v>
      </c>
      <c r="P21" s="335">
        <f t="shared" si="3"/>
        <v>0.56000000000000005</v>
      </c>
      <c r="Q21" s="335">
        <f t="shared" si="3"/>
        <v>1.1846520000000001E-2</v>
      </c>
    </row>
    <row r="22" spans="3:17" x14ac:dyDescent="0.2">
      <c r="C22" s="335" t="s">
        <v>481</v>
      </c>
      <c r="D22" s="335" t="str">
        <f t="shared" si="1"/>
        <v>&gt; 45 kg: Nutrison Multi Fibre</v>
      </c>
      <c r="E22" s="335" t="s">
        <v>482</v>
      </c>
      <c r="F22" s="335">
        <f t="shared" si="3"/>
        <v>1.03</v>
      </c>
      <c r="G22" s="335">
        <f t="shared" si="3"/>
        <v>0.04</v>
      </c>
      <c r="H22" s="335">
        <f t="shared" si="3"/>
        <v>0.12300000000000001</v>
      </c>
      <c r="I22" s="335">
        <f t="shared" si="3"/>
        <v>3.9E-2</v>
      </c>
      <c r="J22" s="335">
        <f t="shared" si="3"/>
        <v>4.3478000000000003E-2</v>
      </c>
      <c r="K22" s="335">
        <f t="shared" si="3"/>
        <v>3.8461500000000003E-2</v>
      </c>
      <c r="L22" s="335">
        <f t="shared" si="3"/>
        <v>1.992E-2</v>
      </c>
      <c r="M22" s="335">
        <f t="shared" si="3"/>
        <v>2.3248080000000001E-2</v>
      </c>
      <c r="N22" s="335">
        <f t="shared" si="3"/>
        <v>9.4624299999999991E-3</v>
      </c>
      <c r="O22" s="335">
        <f t="shared" si="3"/>
        <v>2.8639999999999997E-4</v>
      </c>
      <c r="P22" s="335">
        <f t="shared" si="3"/>
        <v>0.4</v>
      </c>
      <c r="Q22" s="335">
        <f t="shared" si="3"/>
        <v>3.5257499999999997E-2</v>
      </c>
    </row>
    <row r="23" spans="3:17" x14ac:dyDescent="0.2">
      <c r="C23" s="335" t="s">
        <v>481</v>
      </c>
      <c r="D23" s="335" t="str">
        <f t="shared" si="1"/>
        <v>&gt; 45 kg: Nutrison Energy Multi Fibre</v>
      </c>
      <c r="E23" s="335" t="s">
        <v>483</v>
      </c>
      <c r="F23" s="335">
        <f t="shared" si="3"/>
        <v>1.53</v>
      </c>
      <c r="G23" s="335">
        <f t="shared" si="3"/>
        <v>0.06</v>
      </c>
      <c r="H23" s="335">
        <f t="shared" si="3"/>
        <v>0.184</v>
      </c>
      <c r="I23" s="335">
        <f t="shared" si="3"/>
        <v>5.7999999999999996E-2</v>
      </c>
      <c r="J23" s="335">
        <f t="shared" si="3"/>
        <v>5.826052000000001E-2</v>
      </c>
      <c r="K23" s="335">
        <f t="shared" si="3"/>
        <v>5.153841E-2</v>
      </c>
      <c r="L23" s="335">
        <f t="shared" si="3"/>
        <v>2.0915999999999997E-2</v>
      </c>
      <c r="M23" s="335">
        <f t="shared" si="3"/>
        <v>2.7122759999999996E-2</v>
      </c>
      <c r="N23" s="335">
        <f t="shared" si="3"/>
        <v>1.2342299999999999E-2</v>
      </c>
      <c r="O23" s="335">
        <f t="shared" si="3"/>
        <v>4.2959999999999998E-4</v>
      </c>
      <c r="P23" s="335">
        <f t="shared" si="3"/>
        <v>0.6</v>
      </c>
      <c r="Q23" s="335">
        <f t="shared" si="3"/>
        <v>2.8205999999999998E-2</v>
      </c>
    </row>
    <row r="24" spans="3:17" x14ac:dyDescent="0.2">
      <c r="C24" s="335" t="s">
        <v>481</v>
      </c>
      <c r="D24" s="335" t="str">
        <f t="shared" si="1"/>
        <v>&gt; 45 kg: Nutrison Adv Peptisorb</v>
      </c>
      <c r="E24" s="335" t="s">
        <v>948</v>
      </c>
      <c r="F24" s="335">
        <f t="shared" si="3"/>
        <v>1</v>
      </c>
      <c r="G24" s="335">
        <f t="shared" si="3"/>
        <v>0.04</v>
      </c>
      <c r="H24" s="335">
        <f t="shared" si="3"/>
        <v>0.17600000000000002</v>
      </c>
      <c r="I24" s="335">
        <f t="shared" si="3"/>
        <v>1.7000000000000001E-2</v>
      </c>
      <c r="J24" s="335">
        <f t="shared" si="3"/>
        <v>4.3478000000000003E-2</v>
      </c>
      <c r="K24" s="335">
        <f t="shared" si="3"/>
        <v>3.8461500000000003E-2</v>
      </c>
      <c r="L24" s="335">
        <f t="shared" si="3"/>
        <v>1.992E-2</v>
      </c>
      <c r="M24" s="335">
        <f t="shared" si="3"/>
        <v>2.3248080000000001E-2</v>
      </c>
      <c r="N24" s="335">
        <f t="shared" si="3"/>
        <v>9.4624299999999991E-3</v>
      </c>
      <c r="O24" s="335">
        <f t="shared" si="3"/>
        <v>2.8639999999999997E-4</v>
      </c>
      <c r="P24" s="335">
        <f t="shared" si="3"/>
        <v>0.28000000000000003</v>
      </c>
      <c r="Q24" s="335">
        <f t="shared" si="3"/>
        <v>3.5257499999999997E-2</v>
      </c>
    </row>
    <row r="25" spans="3:17" x14ac:dyDescent="0.2">
      <c r="C25" s="335" t="s">
        <v>481</v>
      </c>
      <c r="D25" s="335" t="str">
        <f t="shared" si="1"/>
        <v>&gt; 45 kg: Nutrilon Pepti 2</v>
      </c>
      <c r="E25" s="335" t="s">
        <v>959</v>
      </c>
      <c r="F25" s="335">
        <f t="shared" si="3"/>
        <v>0.68</v>
      </c>
      <c r="G25" s="335">
        <f t="shared" si="3"/>
        <v>1.6E-2</v>
      </c>
      <c r="H25" s="335">
        <f t="shared" si="3"/>
        <v>8.1000000000000003E-2</v>
      </c>
      <c r="I25" s="335">
        <f t="shared" si="3"/>
        <v>3.1E-2</v>
      </c>
      <c r="J25" s="335">
        <f t="shared" si="3"/>
        <v>1.0869500000000001E-2</v>
      </c>
      <c r="K25" s="335">
        <f t="shared" si="3"/>
        <v>1.9999980000000001E-2</v>
      </c>
      <c r="L25" s="335">
        <f t="shared" si="3"/>
        <v>1.5687E-2</v>
      </c>
      <c r="M25" s="335">
        <f t="shared" si="3"/>
        <v>1.194693E-2</v>
      </c>
      <c r="N25" s="335">
        <f t="shared" si="3"/>
        <v>2.262755E-3</v>
      </c>
      <c r="O25" s="335">
        <f t="shared" si="3"/>
        <v>1.7899999999999999E-4</v>
      </c>
      <c r="P25" s="335">
        <f t="shared" si="3"/>
        <v>0.56000000000000005</v>
      </c>
      <c r="Q25" s="335">
        <f t="shared" si="3"/>
        <v>1.1846520000000001E-2</v>
      </c>
    </row>
    <row r="26" spans="3:17" x14ac:dyDescent="0.2">
      <c r="D26" s="335" t="str">
        <f t="shared" si="1"/>
        <v>Nutrilon Neocate</v>
      </c>
      <c r="E26" s="335" t="s">
        <v>867</v>
      </c>
      <c r="F26" s="335">
        <f t="shared" si="3"/>
        <v>0.67</v>
      </c>
      <c r="G26" s="335">
        <f t="shared" si="3"/>
        <v>1.8000000000000002E-2</v>
      </c>
      <c r="H26" s="335">
        <f t="shared" si="3"/>
        <v>7.2000000000000008E-2</v>
      </c>
      <c r="I26" s="335">
        <f t="shared" si="3"/>
        <v>3.4000000000000002E-2</v>
      </c>
      <c r="J26" s="335">
        <f t="shared" si="3"/>
        <v>1.1347758000000001E-2</v>
      </c>
      <c r="K26" s="335">
        <f t="shared" si="3"/>
        <v>1.8589725000000001E-2</v>
      </c>
      <c r="L26" s="335">
        <f t="shared" si="3"/>
        <v>1.6334399999999999E-2</v>
      </c>
      <c r="M26" s="335">
        <f t="shared" si="3"/>
        <v>1.5208118999999999E-2</v>
      </c>
      <c r="N26" s="335">
        <f t="shared" si="3"/>
        <v>2.8798700000000001E-3</v>
      </c>
      <c r="O26" s="335">
        <f t="shared" si="3"/>
        <v>1.7899999999999999E-4</v>
      </c>
      <c r="P26" s="335">
        <f t="shared" si="3"/>
        <v>0.48</v>
      </c>
      <c r="Q26" s="335">
        <f t="shared" si="3"/>
        <v>1.5033797999999998E-2</v>
      </c>
    </row>
    <row r="27" spans="3:17" x14ac:dyDescent="0.2">
      <c r="D27" s="335" t="str">
        <f t="shared" si="1"/>
        <v>Nutrilon Pepti Junior</v>
      </c>
      <c r="E27" s="456" t="s">
        <v>868</v>
      </c>
      <c r="F27" s="335">
        <f t="shared" si="3"/>
        <v>0.66</v>
      </c>
      <c r="G27" s="335">
        <f t="shared" si="3"/>
        <v>1.8000000000000002E-2</v>
      </c>
      <c r="H27" s="335">
        <f t="shared" si="3"/>
        <v>6.8000000000000005E-2</v>
      </c>
      <c r="I27" s="335">
        <f t="shared" si="3"/>
        <v>3.5000000000000003E-2</v>
      </c>
      <c r="J27" s="335">
        <f t="shared" si="3"/>
        <v>7.8260400000000011E-3</v>
      </c>
      <c r="K27" s="335">
        <f t="shared" si="3"/>
        <v>1.6666650000000002E-2</v>
      </c>
      <c r="L27" s="335">
        <f t="shared" si="3"/>
        <v>1.2449999999999999E-2</v>
      </c>
      <c r="M27" s="335">
        <f t="shared" si="3"/>
        <v>9.0409199999999992E-3</v>
      </c>
      <c r="N27" s="335">
        <f t="shared" si="3"/>
        <v>2.0981909999999997E-3</v>
      </c>
      <c r="O27" s="335">
        <f t="shared" si="3"/>
        <v>1.3783E-4</v>
      </c>
      <c r="P27" s="335">
        <f t="shared" si="3"/>
        <v>0.52</v>
      </c>
      <c r="Q27" s="335">
        <f t="shared" si="3"/>
        <v>1.12824E-2</v>
      </c>
    </row>
    <row r="28" spans="3:17" x14ac:dyDescent="0.2">
      <c r="D28" s="335" t="str">
        <f t="shared" si="1"/>
        <v>Speciale voeding</v>
      </c>
      <c r="E28" s="335" t="s">
        <v>163</v>
      </c>
    </row>
    <row r="30" spans="3:17" x14ac:dyDescent="0.2">
      <c r="F30" s="335">
        <v>2</v>
      </c>
      <c r="G30" s="335">
        <v>3</v>
      </c>
      <c r="H30" s="335">
        <v>4</v>
      </c>
      <c r="I30" s="335">
        <v>5</v>
      </c>
      <c r="J30" s="335">
        <v>6</v>
      </c>
      <c r="K30" s="335">
        <v>7</v>
      </c>
      <c r="L30" s="335">
        <v>8</v>
      </c>
      <c r="M30" s="335">
        <v>9</v>
      </c>
      <c r="N30" s="335">
        <v>10</v>
      </c>
      <c r="O30" s="335">
        <v>11</v>
      </c>
      <c r="P30" s="335">
        <v>12</v>
      </c>
      <c r="Q30" s="335">
        <v>13</v>
      </c>
    </row>
    <row r="31" spans="3:17" x14ac:dyDescent="0.2">
      <c r="C31" s="335" t="s">
        <v>5372</v>
      </c>
      <c r="F31" s="335" t="s">
        <v>227</v>
      </c>
      <c r="G31" s="335" t="s">
        <v>189</v>
      </c>
      <c r="H31" s="335" t="s">
        <v>228</v>
      </c>
      <c r="I31" s="335" t="s">
        <v>190</v>
      </c>
      <c r="J31" s="335" t="s">
        <v>222</v>
      </c>
      <c r="K31" s="335" t="s">
        <v>223</v>
      </c>
      <c r="L31" s="335" t="s">
        <v>224</v>
      </c>
      <c r="M31" s="335" t="s">
        <v>229</v>
      </c>
      <c r="N31" s="335" t="s">
        <v>225</v>
      </c>
      <c r="O31" s="335" t="s">
        <v>859</v>
      </c>
      <c r="P31" s="335" t="s">
        <v>860</v>
      </c>
      <c r="Q31" s="335" t="s">
        <v>574</v>
      </c>
    </row>
    <row r="32" spans="3:17" x14ac:dyDescent="0.2">
      <c r="D32" s="335" t="s">
        <v>5045</v>
      </c>
      <c r="F32" s="335" t="str">
        <f t="shared" ref="F32:Q32" si="4">VLOOKUP(F$2,Tbl_Glob_Conversie,3,FALSE)</f>
        <v>kcal</v>
      </c>
      <c r="G32" s="335" t="str">
        <f t="shared" si="4"/>
        <v>gram</v>
      </c>
      <c r="H32" s="335" t="str">
        <f t="shared" si="4"/>
        <v>gram</v>
      </c>
      <c r="I32" s="335" t="str">
        <f t="shared" si="4"/>
        <v>gram</v>
      </c>
      <c r="J32" s="335" t="str">
        <f t="shared" si="4"/>
        <v>mmol</v>
      </c>
      <c r="K32" s="335" t="str">
        <f t="shared" si="4"/>
        <v>mmol</v>
      </c>
      <c r="L32" s="335" t="str">
        <f t="shared" si="4"/>
        <v>mmol</v>
      </c>
      <c r="M32" s="335" t="str">
        <f t="shared" si="4"/>
        <v>mmol</v>
      </c>
      <c r="N32" s="335" t="str">
        <f t="shared" si="4"/>
        <v>mmol</v>
      </c>
      <c r="O32" s="335" t="str">
        <f t="shared" si="4"/>
        <v>mmol</v>
      </c>
      <c r="P32" s="335" t="str">
        <f t="shared" si="4"/>
        <v>IE</v>
      </c>
      <c r="Q32" s="335" t="str">
        <f t="shared" si="4"/>
        <v>mmol</v>
      </c>
    </row>
    <row r="34" spans="4:17" x14ac:dyDescent="0.2">
      <c r="D34" s="335" t="str">
        <f t="shared" ref="D34:D54" si="5">IF(C34&lt;&gt;"",C34&amp;": "&amp;E34,E34)</f>
        <v>Nutrilon Nenatal BMF</v>
      </c>
      <c r="E34" s="335" t="s">
        <v>580</v>
      </c>
      <c r="F34" s="335">
        <f t="shared" ref="F34:Q43" si="6">VLOOKUP($E34,Tbl_Glob_BerPoeder,F$1,FALSE)</f>
        <v>3.47</v>
      </c>
      <c r="G34" s="335">
        <f t="shared" si="6"/>
        <v>0.252</v>
      </c>
      <c r="H34" s="335">
        <f t="shared" si="6"/>
        <v>0.622</v>
      </c>
      <c r="I34" s="335">
        <f t="shared" si="6"/>
        <v>0</v>
      </c>
      <c r="J34" s="335">
        <f t="shared" si="6"/>
        <v>0.34912834000000004</v>
      </c>
      <c r="K34" s="335">
        <f t="shared" si="6"/>
        <v>0.13538448</v>
      </c>
      <c r="L34" s="335">
        <f t="shared" si="6"/>
        <v>0.37125899999999995</v>
      </c>
      <c r="M34" s="335">
        <f t="shared" si="6"/>
        <v>0.28156007999999999</v>
      </c>
      <c r="N34" s="335">
        <f t="shared" si="6"/>
        <v>4.7312149999999997E-2</v>
      </c>
      <c r="O34" s="335">
        <f t="shared" si="6"/>
        <v>0</v>
      </c>
      <c r="P34" s="335">
        <f t="shared" si="6"/>
        <v>46</v>
      </c>
      <c r="Q34" s="335">
        <f t="shared" si="6"/>
        <v>0.16162037999999998</v>
      </c>
    </row>
    <row r="35" spans="4:17" x14ac:dyDescent="0.2">
      <c r="D35" s="335" t="str">
        <f t="shared" si="5"/>
        <v>Hero Baby 1 NS Standaard</v>
      </c>
      <c r="E35" s="456" t="s">
        <v>869</v>
      </c>
      <c r="F35" s="335">
        <f t="shared" si="6"/>
        <v>5.09</v>
      </c>
      <c r="G35" s="335">
        <f t="shared" si="6"/>
        <v>0.1</v>
      </c>
      <c r="H35" s="335">
        <f t="shared" si="6"/>
        <v>0.56000000000000005</v>
      </c>
      <c r="I35" s="335">
        <f t="shared" si="6"/>
        <v>0.27</v>
      </c>
      <c r="J35" s="335">
        <f t="shared" si="6"/>
        <v>5.2173600000000001E-2</v>
      </c>
      <c r="K35" s="335">
        <f t="shared" si="6"/>
        <v>0.11846142</v>
      </c>
      <c r="L35" s="335">
        <f t="shared" si="6"/>
        <v>8.4162000000000001E-2</v>
      </c>
      <c r="M35" s="335">
        <f t="shared" si="6"/>
        <v>6.4577999999999997E-2</v>
      </c>
      <c r="N35" s="335">
        <f t="shared" si="6"/>
        <v>1.2671428E-2</v>
      </c>
      <c r="O35" s="335">
        <f t="shared" si="6"/>
        <v>5.5489999999999999E-4</v>
      </c>
      <c r="P35" s="335">
        <f t="shared" si="6"/>
        <v>3.68</v>
      </c>
      <c r="Q35" s="335">
        <f t="shared" si="6"/>
        <v>8.6874480000000004E-2</v>
      </c>
    </row>
    <row r="36" spans="4:17" x14ac:dyDescent="0.2">
      <c r="D36" s="335" t="str">
        <f t="shared" si="5"/>
        <v>Hero Baby 2 NS Standaard</v>
      </c>
      <c r="E36" s="456" t="s">
        <v>870</v>
      </c>
      <c r="F36" s="335">
        <f t="shared" si="6"/>
        <v>4.7</v>
      </c>
      <c r="G36" s="335">
        <f t="shared" si="6"/>
        <v>9.5000000000000001E-2</v>
      </c>
      <c r="H36" s="335">
        <f t="shared" si="6"/>
        <v>0.64</v>
      </c>
      <c r="I36" s="335">
        <f t="shared" si="6"/>
        <v>0.19</v>
      </c>
      <c r="J36" s="335">
        <f t="shared" si="6"/>
        <v>6.956480000000001E-2</v>
      </c>
      <c r="K36" s="335">
        <f t="shared" si="6"/>
        <v>0.14205113999999999</v>
      </c>
      <c r="L36" s="335">
        <f t="shared" si="6"/>
        <v>0.100845</v>
      </c>
      <c r="M36" s="335">
        <f t="shared" si="6"/>
        <v>7.8462270000000001E-2</v>
      </c>
      <c r="N36" s="335">
        <f t="shared" si="6"/>
        <v>2.139332E-2</v>
      </c>
      <c r="O36" s="335">
        <f t="shared" si="6"/>
        <v>1.4678E-3</v>
      </c>
      <c r="P36" s="335">
        <f t="shared" si="6"/>
        <v>3.44</v>
      </c>
      <c r="Q36" s="335">
        <f t="shared" si="6"/>
        <v>8.3771819999999997E-2</v>
      </c>
    </row>
    <row r="37" spans="4:17" x14ac:dyDescent="0.2">
      <c r="D37" s="335" t="str">
        <f t="shared" si="5"/>
        <v>Hero Baby 1 NS Comfort</v>
      </c>
      <c r="E37" s="456" t="s">
        <v>871</v>
      </c>
      <c r="F37" s="335">
        <f t="shared" si="6"/>
        <v>5.03</v>
      </c>
      <c r="G37" s="335">
        <f t="shared" si="6"/>
        <v>0.11</v>
      </c>
      <c r="H37" s="335">
        <f t="shared" si="6"/>
        <v>0.52</v>
      </c>
      <c r="I37" s="335">
        <f t="shared" si="6"/>
        <v>0.27</v>
      </c>
      <c r="J37" s="335">
        <f t="shared" si="6"/>
        <v>5.2173600000000001E-2</v>
      </c>
      <c r="K37" s="335">
        <f t="shared" si="6"/>
        <v>0.11846142</v>
      </c>
      <c r="L37" s="335">
        <f t="shared" si="6"/>
        <v>8.4162000000000001E-2</v>
      </c>
      <c r="M37" s="335">
        <f t="shared" si="6"/>
        <v>6.4577999999999997E-2</v>
      </c>
      <c r="N37" s="335">
        <f t="shared" si="6"/>
        <v>1.2671428E-2</v>
      </c>
      <c r="O37" s="335">
        <f t="shared" si="6"/>
        <v>5.5489999999999999E-4</v>
      </c>
      <c r="P37" s="335">
        <f t="shared" si="6"/>
        <v>3.68</v>
      </c>
      <c r="Q37" s="335">
        <f t="shared" si="6"/>
        <v>8.6874480000000004E-2</v>
      </c>
    </row>
    <row r="38" spans="4:17" x14ac:dyDescent="0.2">
      <c r="D38" s="335" t="str">
        <f t="shared" si="5"/>
        <v>Hero Baby 2 NS Comfort</v>
      </c>
      <c r="E38" s="456" t="s">
        <v>872</v>
      </c>
      <c r="F38" s="335">
        <f t="shared" si="6"/>
        <v>5.03</v>
      </c>
      <c r="G38" s="335">
        <f t="shared" si="6"/>
        <v>0.11</v>
      </c>
      <c r="H38" s="335">
        <f t="shared" si="6"/>
        <v>0.52</v>
      </c>
      <c r="I38" s="335">
        <f t="shared" si="6"/>
        <v>0.27</v>
      </c>
      <c r="J38" s="335">
        <f t="shared" si="6"/>
        <v>5.2173600000000001E-2</v>
      </c>
      <c r="K38" s="335">
        <f t="shared" si="6"/>
        <v>0.11846142</v>
      </c>
      <c r="L38" s="335">
        <f t="shared" si="6"/>
        <v>8.4162000000000001E-2</v>
      </c>
      <c r="M38" s="335">
        <f t="shared" si="6"/>
        <v>6.4577999999999997E-2</v>
      </c>
      <c r="N38" s="335">
        <f t="shared" si="6"/>
        <v>1.2671428E-2</v>
      </c>
      <c r="O38" s="335">
        <f t="shared" si="6"/>
        <v>1.5215000000000001E-3</v>
      </c>
      <c r="P38" s="335">
        <f t="shared" si="6"/>
        <v>3.68</v>
      </c>
      <c r="Q38" s="335">
        <f t="shared" si="6"/>
        <v>8.6874480000000004E-2</v>
      </c>
    </row>
    <row r="39" spans="4:17" x14ac:dyDescent="0.2">
      <c r="D39" s="335" t="str">
        <f t="shared" si="5"/>
        <v>Hero Baby 1 NS Pep</v>
      </c>
      <c r="E39" s="456" t="s">
        <v>873</v>
      </c>
      <c r="F39" s="335">
        <f t="shared" si="6"/>
        <v>4.93</v>
      </c>
      <c r="G39" s="335">
        <f t="shared" si="6"/>
        <v>0.13</v>
      </c>
      <c r="H39" s="335">
        <f t="shared" si="6"/>
        <v>0.53</v>
      </c>
      <c r="I39" s="335">
        <f t="shared" si="6"/>
        <v>0.26</v>
      </c>
      <c r="J39" s="335">
        <f t="shared" si="6"/>
        <v>8.8695120000000002E-2</v>
      </c>
      <c r="K39" s="335">
        <f t="shared" si="6"/>
        <v>0.1410255</v>
      </c>
      <c r="L39" s="335">
        <f t="shared" si="6"/>
        <v>9.9599999999999994E-2</v>
      </c>
      <c r="M39" s="335">
        <f t="shared" si="6"/>
        <v>7.4264699999999989E-2</v>
      </c>
      <c r="N39" s="335">
        <f t="shared" si="6"/>
        <v>2.0570499999999999E-2</v>
      </c>
      <c r="O39" s="335">
        <f t="shared" si="6"/>
        <v>6.265E-4</v>
      </c>
      <c r="P39" s="335">
        <f t="shared" si="6"/>
        <v>3.12</v>
      </c>
      <c r="Q39" s="335">
        <f t="shared" si="6"/>
        <v>8.8848899999999981E-2</v>
      </c>
    </row>
    <row r="40" spans="4:17" x14ac:dyDescent="0.2">
      <c r="D40" s="335" t="str">
        <f t="shared" si="5"/>
        <v>Hero Baby 2 NS Pep</v>
      </c>
      <c r="E40" s="456" t="s">
        <v>874</v>
      </c>
      <c r="F40" s="335">
        <f t="shared" si="6"/>
        <v>4.93</v>
      </c>
      <c r="G40" s="335">
        <f t="shared" si="6"/>
        <v>0.13</v>
      </c>
      <c r="H40" s="335">
        <f t="shared" si="6"/>
        <v>0.53</v>
      </c>
      <c r="I40" s="335">
        <f t="shared" si="6"/>
        <v>0.26</v>
      </c>
      <c r="J40" s="335">
        <f t="shared" si="6"/>
        <v>8.8695120000000002E-2</v>
      </c>
      <c r="K40" s="335">
        <f t="shared" si="6"/>
        <v>0.1410255</v>
      </c>
      <c r="L40" s="335">
        <f t="shared" si="6"/>
        <v>9.9599999999999994E-2</v>
      </c>
      <c r="M40" s="335">
        <f t="shared" si="6"/>
        <v>7.4264699999999989E-2</v>
      </c>
      <c r="N40" s="335">
        <f t="shared" si="6"/>
        <v>2.0570499999999999E-2</v>
      </c>
      <c r="O40" s="335">
        <f t="shared" si="6"/>
        <v>1.2708999999999997E-3</v>
      </c>
      <c r="P40" s="335">
        <f t="shared" si="6"/>
        <v>3.12</v>
      </c>
      <c r="Q40" s="335">
        <f t="shared" si="6"/>
        <v>8.8848899999999981E-2</v>
      </c>
    </row>
    <row r="41" spans="4:17" x14ac:dyDescent="0.2">
      <c r="D41" s="335" t="str">
        <f t="shared" si="5"/>
        <v>Nutramigen 1 LGG pdr</v>
      </c>
      <c r="E41" s="456" t="s">
        <v>875</v>
      </c>
      <c r="F41" s="335">
        <f t="shared" si="6"/>
        <v>5</v>
      </c>
      <c r="G41" s="335">
        <f t="shared" si="6"/>
        <v>0.14000000000000001</v>
      </c>
      <c r="H41" s="335">
        <f t="shared" si="6"/>
        <v>0.55000000000000004</v>
      </c>
      <c r="I41" s="335">
        <f t="shared" si="6"/>
        <v>0.25</v>
      </c>
      <c r="J41" s="335">
        <f t="shared" si="6"/>
        <v>0.1043472</v>
      </c>
      <c r="K41" s="335">
        <f t="shared" si="6"/>
        <v>0.1564101</v>
      </c>
      <c r="L41" s="335">
        <f t="shared" si="6"/>
        <v>0.14068499999999998</v>
      </c>
      <c r="M41" s="335">
        <f t="shared" si="6"/>
        <v>0.12592709999999999</v>
      </c>
      <c r="N41" s="335">
        <f t="shared" si="6"/>
        <v>2.0570499999999999E-2</v>
      </c>
      <c r="O41" s="335">
        <f t="shared" si="6"/>
        <v>1.611E-3</v>
      </c>
      <c r="P41" s="335">
        <f t="shared" si="6"/>
        <v>3</v>
      </c>
      <c r="Q41" s="335">
        <f t="shared" si="6"/>
        <v>0.13538879999999998</v>
      </c>
    </row>
    <row r="42" spans="4:17" x14ac:dyDescent="0.2">
      <c r="D42" s="335" t="str">
        <f t="shared" si="5"/>
        <v>Nutramigen 2 LGG pdr</v>
      </c>
      <c r="E42" s="456" t="s">
        <v>37</v>
      </c>
      <c r="F42" s="335">
        <f t="shared" si="6"/>
        <v>4.66</v>
      </c>
      <c r="G42" s="335">
        <f t="shared" si="6"/>
        <v>0.11599999999999999</v>
      </c>
      <c r="H42" s="335">
        <f t="shared" si="6"/>
        <v>0.59</v>
      </c>
      <c r="I42" s="335">
        <f t="shared" si="6"/>
        <v>0.2</v>
      </c>
      <c r="J42" s="335">
        <f t="shared" si="6"/>
        <v>7.478216E-2</v>
      </c>
      <c r="K42" s="335">
        <f t="shared" si="6"/>
        <v>0.14564088</v>
      </c>
      <c r="L42" s="335">
        <f t="shared" si="6"/>
        <v>0.15886199999999998</v>
      </c>
      <c r="M42" s="335">
        <f t="shared" si="6"/>
        <v>0.10849103999999998</v>
      </c>
      <c r="N42" s="335">
        <f t="shared" si="6"/>
        <v>1.9336269999999999E-2</v>
      </c>
      <c r="O42" s="335">
        <f t="shared" si="6"/>
        <v>1.4678E-3</v>
      </c>
      <c r="P42" s="335">
        <f t="shared" si="6"/>
        <v>2.92</v>
      </c>
      <c r="Q42" s="335">
        <f t="shared" si="6"/>
        <v>0.10520837999999999</v>
      </c>
    </row>
    <row r="43" spans="4:17" x14ac:dyDescent="0.2">
      <c r="D43" s="335" t="str">
        <f t="shared" si="5"/>
        <v>Nutrison Advanced Peptisorb Powder</v>
      </c>
      <c r="E43" s="456" t="s">
        <v>876</v>
      </c>
      <c r="F43" s="335">
        <f t="shared" si="6"/>
        <v>4.0199999999999996</v>
      </c>
      <c r="G43" s="335">
        <f t="shared" si="6"/>
        <v>0.14699999999999999</v>
      </c>
      <c r="H43" s="335">
        <f t="shared" si="6"/>
        <v>0.71</v>
      </c>
      <c r="I43" s="335">
        <f t="shared" si="6"/>
        <v>6.7000000000000004E-2</v>
      </c>
      <c r="J43" s="335">
        <f t="shared" si="6"/>
        <v>0.17478156000000003</v>
      </c>
      <c r="K43" s="335">
        <f t="shared" si="6"/>
        <v>0.15461522999999999</v>
      </c>
      <c r="L43" s="335">
        <f t="shared" si="6"/>
        <v>8.0177999999999999E-2</v>
      </c>
      <c r="M43" s="335">
        <f t="shared" si="6"/>
        <v>8.6211629999999997E-2</v>
      </c>
      <c r="N43" s="335">
        <f t="shared" si="6"/>
        <v>3.4558439999999996E-2</v>
      </c>
      <c r="O43" s="335">
        <f t="shared" si="6"/>
        <v>1.1455999999999999E-3</v>
      </c>
      <c r="P43" s="335">
        <f t="shared" si="6"/>
        <v>1.1200000000000001</v>
      </c>
      <c r="Q43" s="335">
        <f t="shared" si="6"/>
        <v>0.14187617999999999</v>
      </c>
    </row>
    <row r="44" spans="4:17" x14ac:dyDescent="0.2">
      <c r="D44" s="335" t="str">
        <f t="shared" si="5"/>
        <v>Nutrilon Pepti Junior pdr</v>
      </c>
      <c r="E44" s="456" t="s">
        <v>877</v>
      </c>
      <c r="F44" s="335">
        <f t="shared" ref="F44:Q56" si="7">VLOOKUP($E44,Tbl_Glob_BerPoeder,F$1,FALSE)</f>
        <v>5.15</v>
      </c>
      <c r="G44" s="335">
        <f t="shared" si="7"/>
        <v>0.14000000000000001</v>
      </c>
      <c r="H44" s="335">
        <f t="shared" si="7"/>
        <v>0.53400000000000003</v>
      </c>
      <c r="I44" s="335">
        <f t="shared" si="7"/>
        <v>0.27300000000000002</v>
      </c>
      <c r="J44" s="335">
        <f t="shared" si="7"/>
        <v>6.0869199999999998E-2</v>
      </c>
      <c r="K44" s="335">
        <f t="shared" si="7"/>
        <v>0.12999987000000002</v>
      </c>
      <c r="L44" s="335">
        <f t="shared" si="7"/>
        <v>9.7110000000000002E-2</v>
      </c>
      <c r="M44" s="335">
        <f t="shared" si="7"/>
        <v>7.0390019999999998E-2</v>
      </c>
      <c r="N44" s="335">
        <f t="shared" si="7"/>
        <v>1.6456399999999996E-2</v>
      </c>
      <c r="O44" s="335">
        <f t="shared" si="7"/>
        <v>1.0739999999999999E-3</v>
      </c>
      <c r="P44" s="335">
        <f t="shared" si="7"/>
        <v>3.92</v>
      </c>
      <c r="Q44" s="335">
        <f t="shared" si="7"/>
        <v>8.7438599999999991E-2</v>
      </c>
    </row>
    <row r="45" spans="4:17" x14ac:dyDescent="0.2">
      <c r="D45" s="335" t="str">
        <f t="shared" si="5"/>
        <v>Nutrilon Nenatal Start pdr</v>
      </c>
      <c r="E45" s="456" t="s">
        <v>878</v>
      </c>
      <c r="F45" s="335">
        <f t="shared" si="7"/>
        <v>4.74</v>
      </c>
      <c r="G45" s="335">
        <f t="shared" si="7"/>
        <v>0.156</v>
      </c>
      <c r="H45" s="335">
        <f t="shared" si="7"/>
        <v>0.22899999999999998</v>
      </c>
      <c r="I45" s="335">
        <f t="shared" si="7"/>
        <v>0.498</v>
      </c>
      <c r="J45" s="335">
        <f t="shared" si="7"/>
        <v>0.1804337</v>
      </c>
      <c r="K45" s="335">
        <f t="shared" si="7"/>
        <v>0.12153833999999999</v>
      </c>
      <c r="L45" s="335">
        <f t="shared" si="7"/>
        <v>0.14765699999999998</v>
      </c>
      <c r="M45" s="335">
        <f t="shared" si="7"/>
        <v>0.10719947999999999</v>
      </c>
      <c r="N45" s="335">
        <f t="shared" si="7"/>
        <v>1.9336269999999999E-2</v>
      </c>
      <c r="O45" s="335">
        <f t="shared" si="7"/>
        <v>1.7004999999999998E-3</v>
      </c>
      <c r="P45" s="335">
        <f t="shared" si="7"/>
        <v>7.2</v>
      </c>
      <c r="Q45" s="335">
        <f t="shared" si="7"/>
        <v>0.14215823999999999</v>
      </c>
    </row>
    <row r="46" spans="4:17" x14ac:dyDescent="0.2">
      <c r="D46" s="335" t="str">
        <f t="shared" si="5"/>
        <v>Nutrilon Nenatal 1</v>
      </c>
      <c r="E46" s="456" t="s">
        <v>865</v>
      </c>
      <c r="F46" s="335">
        <f t="shared" si="7"/>
        <v>4.91</v>
      </c>
      <c r="G46" s="335">
        <f t="shared" si="7"/>
        <v>0.13400000000000001</v>
      </c>
      <c r="H46" s="335">
        <f t="shared" si="7"/>
        <v>0.49099999999999999</v>
      </c>
      <c r="I46" s="335">
        <f t="shared" si="7"/>
        <v>0.26</v>
      </c>
      <c r="J46" s="335">
        <f t="shared" si="7"/>
        <v>7.9564740000000009E-2</v>
      </c>
      <c r="K46" s="335">
        <f t="shared" si="7"/>
        <v>0.12923064000000001</v>
      </c>
      <c r="L46" s="335">
        <f t="shared" si="7"/>
        <v>0.141681</v>
      </c>
      <c r="M46" s="335">
        <f t="shared" si="7"/>
        <v>9.9450120000000003E-2</v>
      </c>
      <c r="N46" s="335">
        <f t="shared" si="7"/>
        <v>1.8924859999999998E-2</v>
      </c>
      <c r="O46" s="335">
        <f t="shared" si="7"/>
        <v>1.4141000000000002E-3</v>
      </c>
      <c r="P46" s="335">
        <f t="shared" si="7"/>
        <v>4.4000000000000004</v>
      </c>
      <c r="Q46" s="335">
        <f t="shared" si="7"/>
        <v>0.1015416</v>
      </c>
    </row>
    <row r="47" spans="4:17" x14ac:dyDescent="0.2">
      <c r="D47" s="335" t="str">
        <f t="shared" si="5"/>
        <v>Nutrilon Nenatal Protein Fortifier</v>
      </c>
      <c r="E47" s="838" t="s">
        <v>879</v>
      </c>
      <c r="F47" s="335">
        <f t="shared" si="7"/>
        <v>3.38</v>
      </c>
      <c r="G47" s="335">
        <f t="shared" si="7"/>
        <v>0.82099999999999995</v>
      </c>
      <c r="H47" s="335">
        <f t="shared" si="7"/>
        <v>2.2000000000000002E-2</v>
      </c>
      <c r="I47" s="335">
        <f t="shared" si="7"/>
        <v>1E-3</v>
      </c>
      <c r="J47" s="335">
        <f t="shared" si="7"/>
        <v>0.33738928000000001</v>
      </c>
      <c r="K47" s="335">
        <f t="shared" si="7"/>
        <v>0.31435866000000001</v>
      </c>
      <c r="L47" s="335">
        <f t="shared" si="7"/>
        <v>0.13047599999999998</v>
      </c>
      <c r="M47" s="335">
        <f t="shared" si="7"/>
        <v>0.16661123999999997</v>
      </c>
      <c r="N47" s="335">
        <f t="shared" si="7"/>
        <v>1.8924859999999998E-2</v>
      </c>
      <c r="O47" s="335">
        <f t="shared" si="7"/>
        <v>0</v>
      </c>
      <c r="P47" s="335">
        <f t="shared" si="7"/>
        <v>0</v>
      </c>
      <c r="Q47" s="335">
        <f t="shared" si="7"/>
        <v>1.8615959999999997E-2</v>
      </c>
    </row>
    <row r="48" spans="4:17" x14ac:dyDescent="0.2">
      <c r="D48" s="335" t="str">
        <f t="shared" si="5"/>
        <v>Calogen neutraal</v>
      </c>
      <c r="E48" s="838" t="s">
        <v>880</v>
      </c>
      <c r="F48" s="335">
        <f t="shared" si="7"/>
        <v>4.5</v>
      </c>
      <c r="G48" s="335">
        <f t="shared" si="7"/>
        <v>0</v>
      </c>
      <c r="H48" s="335">
        <f t="shared" si="7"/>
        <v>0</v>
      </c>
      <c r="I48" s="335">
        <f t="shared" si="7"/>
        <v>0.5</v>
      </c>
      <c r="J48" s="335">
        <f t="shared" si="7"/>
        <v>3.04346E-3</v>
      </c>
      <c r="K48" s="335">
        <f t="shared" si="7"/>
        <v>0</v>
      </c>
      <c r="L48" s="335">
        <f t="shared" si="7"/>
        <v>0</v>
      </c>
      <c r="M48" s="335">
        <f t="shared" si="7"/>
        <v>0</v>
      </c>
      <c r="N48" s="335">
        <f t="shared" si="7"/>
        <v>0</v>
      </c>
      <c r="O48" s="335">
        <f t="shared" si="7"/>
        <v>0</v>
      </c>
      <c r="P48" s="335">
        <f t="shared" si="7"/>
        <v>0</v>
      </c>
      <c r="Q48" s="335">
        <f t="shared" si="7"/>
        <v>2.8206000000000001E-5</v>
      </c>
    </row>
    <row r="49" spans="4:17" x14ac:dyDescent="0.2">
      <c r="D49" s="335" t="str">
        <f t="shared" si="5"/>
        <v>Liquigen</v>
      </c>
      <c r="E49" s="838" t="s">
        <v>881</v>
      </c>
      <c r="F49" s="335">
        <f t="shared" si="7"/>
        <v>4.5</v>
      </c>
      <c r="G49" s="335">
        <f t="shared" si="7"/>
        <v>0</v>
      </c>
      <c r="H49" s="335">
        <f t="shared" si="7"/>
        <v>0</v>
      </c>
      <c r="I49" s="335">
        <f t="shared" si="7"/>
        <v>0.5</v>
      </c>
      <c r="J49" s="335">
        <f t="shared" si="7"/>
        <v>2.1739000000000003E-3</v>
      </c>
      <c r="K49" s="335">
        <f t="shared" si="7"/>
        <v>2.5641000000000001E-5</v>
      </c>
      <c r="L49" s="335">
        <f t="shared" si="7"/>
        <v>7.4699999999999986E-5</v>
      </c>
      <c r="M49" s="335">
        <f t="shared" si="7"/>
        <v>0</v>
      </c>
      <c r="N49" s="335">
        <f t="shared" si="7"/>
        <v>0</v>
      </c>
      <c r="O49" s="335">
        <f t="shared" si="7"/>
        <v>0</v>
      </c>
      <c r="P49" s="335">
        <f t="shared" si="7"/>
        <v>0</v>
      </c>
      <c r="Q49" s="335">
        <f t="shared" si="7"/>
        <v>2.8205999999999997E-6</v>
      </c>
    </row>
    <row r="50" spans="4:17" x14ac:dyDescent="0.2">
      <c r="D50" s="335" t="str">
        <f t="shared" si="5"/>
        <v>Fantomalt</v>
      </c>
      <c r="E50" s="838" t="s">
        <v>524</v>
      </c>
      <c r="F50" s="335">
        <f t="shared" si="7"/>
        <v>3.84</v>
      </c>
      <c r="G50" s="335">
        <f t="shared" si="7"/>
        <v>0</v>
      </c>
      <c r="H50" s="335">
        <f t="shared" si="7"/>
        <v>0.96</v>
      </c>
      <c r="I50" s="335">
        <f t="shared" si="7"/>
        <v>0</v>
      </c>
      <c r="J50" s="335">
        <f t="shared" si="7"/>
        <v>8.6956000000000002E-4</v>
      </c>
      <c r="K50" s="335">
        <f t="shared" si="7"/>
        <v>0</v>
      </c>
      <c r="L50" s="335">
        <f t="shared" si="7"/>
        <v>0</v>
      </c>
      <c r="M50" s="335">
        <f t="shared" si="7"/>
        <v>0</v>
      </c>
      <c r="N50" s="335">
        <f t="shared" si="7"/>
        <v>0</v>
      </c>
      <c r="O50" s="335">
        <f t="shared" si="7"/>
        <v>0</v>
      </c>
      <c r="P50" s="335">
        <f t="shared" si="7"/>
        <v>0</v>
      </c>
      <c r="Q50" s="335">
        <f t="shared" si="7"/>
        <v>0</v>
      </c>
    </row>
    <row r="51" spans="4:17" x14ac:dyDescent="0.2">
      <c r="D51" s="335" t="str">
        <f t="shared" si="5"/>
        <v>Nutrilon Pepti 1 pdr</v>
      </c>
      <c r="E51" s="838" t="s">
        <v>882</v>
      </c>
      <c r="F51" s="335">
        <f t="shared" si="7"/>
        <v>4.93</v>
      </c>
      <c r="G51" s="335">
        <f t="shared" si="7"/>
        <v>0.11599999999999999</v>
      </c>
      <c r="H51" s="335">
        <f t="shared" si="7"/>
        <v>0.51800000000000002</v>
      </c>
      <c r="I51" s="335">
        <f t="shared" si="7"/>
        <v>0.25700000000000001</v>
      </c>
      <c r="J51" s="335">
        <f t="shared" si="7"/>
        <v>6.5216999999999997E-2</v>
      </c>
      <c r="K51" s="335">
        <f t="shared" si="7"/>
        <v>0.15333318000000001</v>
      </c>
      <c r="L51" s="335">
        <f t="shared" si="7"/>
        <v>8.6153999999999994E-2</v>
      </c>
      <c r="M51" s="335">
        <f t="shared" si="7"/>
        <v>6.1671990000000003E-2</v>
      </c>
      <c r="N51" s="335">
        <f t="shared" si="7"/>
        <v>1.6044989999999999E-2</v>
      </c>
      <c r="O51" s="335">
        <f t="shared" si="7"/>
        <v>6.981E-4</v>
      </c>
      <c r="P51" s="335">
        <f t="shared" si="7"/>
        <v>3.76</v>
      </c>
      <c r="Q51" s="335">
        <f t="shared" si="7"/>
        <v>8.1797399999999992E-2</v>
      </c>
    </row>
    <row r="52" spans="4:17" x14ac:dyDescent="0.2">
      <c r="D52" s="335" t="str">
        <f t="shared" si="5"/>
        <v>Nutrilon Hypoallergeen 1 pdr</v>
      </c>
      <c r="E52" s="838" t="s">
        <v>883</v>
      </c>
      <c r="F52" s="335">
        <f t="shared" si="7"/>
        <v>4.83</v>
      </c>
      <c r="G52" s="335">
        <f t="shared" si="7"/>
        <v>0.11</v>
      </c>
      <c r="H52" s="335">
        <f t="shared" si="7"/>
        <v>0.52500000000000002</v>
      </c>
      <c r="I52" s="335">
        <f t="shared" si="7"/>
        <v>0.24600000000000002</v>
      </c>
      <c r="J52" s="335">
        <f t="shared" si="7"/>
        <v>7.8695180000000003E-2</v>
      </c>
      <c r="K52" s="335">
        <f t="shared" si="7"/>
        <v>0.1358973</v>
      </c>
      <c r="L52" s="335">
        <f t="shared" si="7"/>
        <v>8.4410999999999986E-2</v>
      </c>
      <c r="M52" s="335">
        <f t="shared" si="7"/>
        <v>6.1349099999999997E-2</v>
      </c>
      <c r="N52" s="335">
        <f t="shared" si="7"/>
        <v>1.522217E-2</v>
      </c>
      <c r="O52" s="335">
        <f t="shared" si="7"/>
        <v>6.981E-4</v>
      </c>
      <c r="P52" s="335">
        <f t="shared" si="7"/>
        <v>3.52</v>
      </c>
      <c r="Q52" s="335">
        <f t="shared" si="7"/>
        <v>8.518212E-2</v>
      </c>
    </row>
    <row r="53" spans="4:17" x14ac:dyDescent="0.2">
      <c r="D53" s="335" t="str">
        <f t="shared" si="5"/>
        <v>Neocate LCP</v>
      </c>
      <c r="E53" s="838" t="s">
        <v>884</v>
      </c>
      <c r="F53" s="335">
        <f t="shared" si="7"/>
        <v>4.83</v>
      </c>
      <c r="G53" s="335">
        <f t="shared" si="7"/>
        <v>0.13</v>
      </c>
      <c r="H53" s="335">
        <f t="shared" si="7"/>
        <v>0.52500000000000002</v>
      </c>
      <c r="I53" s="335">
        <f t="shared" si="7"/>
        <v>0.245</v>
      </c>
      <c r="J53" s="335">
        <f t="shared" si="7"/>
        <v>8.2173419999999997E-2</v>
      </c>
      <c r="K53" s="335">
        <f t="shared" si="7"/>
        <v>0.13461524999999999</v>
      </c>
      <c r="L53" s="335">
        <f t="shared" si="7"/>
        <v>0.11827499999999999</v>
      </c>
      <c r="M53" s="335">
        <f t="shared" si="7"/>
        <v>0.11010548999999999</v>
      </c>
      <c r="N53" s="335">
        <f t="shared" si="7"/>
        <v>2.0981909999999999E-2</v>
      </c>
      <c r="O53" s="335">
        <f t="shared" si="7"/>
        <v>1.2977500000000001E-3</v>
      </c>
      <c r="P53" s="335">
        <f t="shared" si="7"/>
        <v>3.52</v>
      </c>
      <c r="Q53" s="335">
        <f t="shared" si="7"/>
        <v>0.10887516</v>
      </c>
    </row>
    <row r="54" spans="4:17" x14ac:dyDescent="0.2">
      <c r="D54" s="335" t="str">
        <f t="shared" si="5"/>
        <v>Neocate Junior</v>
      </c>
      <c r="E54" s="838" t="s">
        <v>885</v>
      </c>
      <c r="F54" s="335">
        <f t="shared" si="7"/>
        <v>4.75</v>
      </c>
      <c r="G54" s="335">
        <f t="shared" si="7"/>
        <v>0.13300000000000001</v>
      </c>
      <c r="H54" s="335">
        <f t="shared" si="7"/>
        <v>0.56000000000000005</v>
      </c>
      <c r="I54" s="335">
        <f t="shared" si="7"/>
        <v>0.22</v>
      </c>
      <c r="J54" s="335">
        <f t="shared" si="7"/>
        <v>0.1239123</v>
      </c>
      <c r="K54" s="335">
        <f t="shared" si="7"/>
        <v>0.13999986</v>
      </c>
      <c r="L54" s="335">
        <f t="shared" si="7"/>
        <v>0.106572</v>
      </c>
      <c r="M54" s="335">
        <f t="shared" si="7"/>
        <v>9.9773009999999995E-2</v>
      </c>
      <c r="N54" s="335">
        <f t="shared" si="7"/>
        <v>2.7358764999999997E-2</v>
      </c>
      <c r="O54" s="335">
        <f t="shared" si="7"/>
        <v>1.0203E-3</v>
      </c>
      <c r="P54" s="335">
        <f t="shared" si="7"/>
        <v>2.48</v>
      </c>
      <c r="Q54" s="335">
        <f t="shared" si="7"/>
        <v>0.12326022</v>
      </c>
    </row>
    <row r="55" spans="4:17" x14ac:dyDescent="0.2">
      <c r="D55" s="384" t="s">
        <v>936</v>
      </c>
      <c r="E55" s="384" t="s">
        <v>960</v>
      </c>
      <c r="F55" s="335">
        <f t="shared" si="7"/>
        <v>4.84</v>
      </c>
      <c r="G55" s="335">
        <f t="shared" si="7"/>
        <v>9.6999999999999989E-2</v>
      </c>
      <c r="H55" s="335">
        <f t="shared" si="7"/>
        <v>0.53799999999999992</v>
      </c>
      <c r="I55" s="335">
        <f t="shared" si="7"/>
        <v>0.247</v>
      </c>
      <c r="J55" s="335">
        <f t="shared" si="7"/>
        <v>5.43475E-2</v>
      </c>
      <c r="K55" s="335">
        <f t="shared" si="7"/>
        <v>0.12846141</v>
      </c>
      <c r="L55" s="335">
        <f t="shared" si="7"/>
        <v>0.10408199999999999</v>
      </c>
      <c r="M55" s="335">
        <f t="shared" si="7"/>
        <v>7.6524929999999991E-2</v>
      </c>
      <c r="N55" s="335">
        <f t="shared" si="7"/>
        <v>1.522217E-2</v>
      </c>
      <c r="O55" s="335">
        <f t="shared" si="7"/>
        <v>6.981E-4</v>
      </c>
      <c r="P55" s="335">
        <f t="shared" si="7"/>
        <v>3.48</v>
      </c>
      <c r="Q55" s="335">
        <f t="shared" si="7"/>
        <v>8.5746240000000001E-2</v>
      </c>
    </row>
    <row r="56" spans="4:17" x14ac:dyDescent="0.2">
      <c r="D56" s="384" t="s">
        <v>937</v>
      </c>
      <c r="E56" s="384" t="s">
        <v>937</v>
      </c>
      <c r="F56" s="335">
        <f t="shared" si="7"/>
        <v>3.18</v>
      </c>
      <c r="G56" s="335">
        <f t="shared" si="7"/>
        <v>0</v>
      </c>
      <c r="H56" s="335">
        <f t="shared" si="7"/>
        <v>0.66200000000000003</v>
      </c>
      <c r="I56" s="335">
        <f t="shared" si="7"/>
        <v>3.0000000000000001E-3</v>
      </c>
      <c r="J56" s="335">
        <f t="shared" si="7"/>
        <v>2.6086799999999999E-3</v>
      </c>
      <c r="K56" s="335">
        <f t="shared" si="7"/>
        <v>2.3333310000000003E-2</v>
      </c>
      <c r="L56" s="335">
        <f t="shared" si="7"/>
        <v>8.3415000000000003E-2</v>
      </c>
      <c r="M56" s="335">
        <f t="shared" si="7"/>
        <v>3.8746799999999997E-3</v>
      </c>
      <c r="N56" s="335">
        <f t="shared" si="7"/>
        <v>3.7438309999999995E-3</v>
      </c>
      <c r="O56" s="335">
        <f t="shared" si="7"/>
        <v>1.5751999999999999E-3</v>
      </c>
      <c r="P56" s="335">
        <f t="shared" si="7"/>
        <v>0</v>
      </c>
      <c r="Q56" s="335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93" customWidth="1"/>
    <col min="2" max="9" width="10.7109375" style="693" customWidth="1"/>
    <col min="10" max="10" width="3.7109375" style="693" customWidth="1"/>
    <col min="11" max="12" width="10.7109375" style="693" customWidth="1"/>
    <col min="13" max="16384" width="9.140625" style="693"/>
  </cols>
  <sheetData>
    <row r="1" spans="1:81" s="612" customFormat="1" ht="17.25" customHeight="1" x14ac:dyDescent="0.2">
      <c r="A1" s="691"/>
      <c r="B1" s="641"/>
      <c r="C1" s="641"/>
      <c r="D1" s="641"/>
      <c r="E1" s="641"/>
      <c r="F1" s="641"/>
      <c r="G1" s="641"/>
      <c r="H1" s="641"/>
      <c r="I1" s="641"/>
      <c r="J1" s="641"/>
      <c r="K1" s="641"/>
      <c r="L1" s="641"/>
      <c r="M1" s="641"/>
      <c r="N1" s="641"/>
      <c r="R1" s="622"/>
      <c r="S1" s="622"/>
      <c r="T1" s="622"/>
      <c r="U1" s="622"/>
      <c r="V1" s="622"/>
      <c r="W1" s="622"/>
      <c r="X1" s="622"/>
    </row>
    <row r="2" spans="1:81" s="612" customFormat="1" ht="17.25" customHeight="1" x14ac:dyDescent="0.2">
      <c r="A2" s="622"/>
      <c r="B2" s="641"/>
      <c r="C2" s="596" t="s">
        <v>297</v>
      </c>
      <c r="D2" s="597">
        <f ca="1">Var_AfspraakDatum</f>
        <v>42751</v>
      </c>
      <c r="E2" s="598"/>
      <c r="F2" s="596" t="s">
        <v>4319</v>
      </c>
      <c r="G2" s="797"/>
      <c r="H2" s="600" t="str">
        <f>PatDetails!B15</f>
        <v/>
      </c>
      <c r="I2" s="596"/>
      <c r="J2" s="641" t="str">
        <f>PatDetails!B23</f>
        <v>Gewicht:</v>
      </c>
      <c r="K2" s="641"/>
      <c r="L2" s="641"/>
      <c r="M2" s="641" t="s">
        <v>490</v>
      </c>
      <c r="N2" s="641">
        <v>0</v>
      </c>
      <c r="R2" s="622"/>
      <c r="S2" s="622"/>
      <c r="T2" s="622"/>
      <c r="U2" s="622"/>
      <c r="V2" s="622"/>
      <c r="W2" s="622"/>
      <c r="X2" s="622"/>
    </row>
    <row r="3" spans="1:81" s="612" customFormat="1" ht="17.25" customHeight="1" x14ac:dyDescent="0.2">
      <c r="A3" s="622"/>
      <c r="B3" s="564"/>
      <c r="C3" s="596" t="s">
        <v>28</v>
      </c>
      <c r="D3" s="601" t="str">
        <f>PatDetails!B21</f>
        <v/>
      </c>
      <c r="E3" s="601"/>
      <c r="F3" s="596" t="s">
        <v>4320</v>
      </c>
      <c r="G3" s="797"/>
      <c r="H3" s="600" t="str">
        <f ca="1">PatDetails!B16</f>
        <v/>
      </c>
      <c r="I3" s="641"/>
      <c r="J3" s="596" t="str">
        <f>PatDetails!B24</f>
        <v>Lengte:</v>
      </c>
      <c r="K3" s="641"/>
      <c r="L3" s="641"/>
      <c r="M3" s="641"/>
      <c r="N3" s="641"/>
      <c r="R3" s="622"/>
      <c r="S3" s="622"/>
      <c r="T3" s="622"/>
      <c r="U3" s="622"/>
      <c r="V3" s="622"/>
      <c r="W3" s="622"/>
      <c r="X3" s="622"/>
    </row>
    <row r="4" spans="1:81" s="612" customFormat="1" ht="17.25" customHeight="1" x14ac:dyDescent="0.2">
      <c r="A4" s="614"/>
      <c r="B4" s="604"/>
      <c r="C4" s="596" t="s">
        <v>4314</v>
      </c>
      <c r="D4" s="596" t="str">
        <f>PatDetails!B17</f>
        <v/>
      </c>
      <c r="E4" s="598"/>
      <c r="F4" s="596" t="s">
        <v>268</v>
      </c>
      <c r="G4" s="798"/>
      <c r="H4" s="605" t="str">
        <f ca="1">PatDetails!B20</f>
        <v/>
      </c>
      <c r="I4" s="596"/>
      <c r="J4" s="596" t="str">
        <f>PatDetails!B25</f>
        <v>Lichamelijk oppervlak:</v>
      </c>
      <c r="K4" s="604"/>
      <c r="L4" s="641"/>
      <c r="M4" s="604"/>
      <c r="N4" s="641"/>
      <c r="R4" s="614"/>
      <c r="S4" s="614"/>
      <c r="T4" s="614"/>
      <c r="U4" s="614"/>
      <c r="V4" s="614"/>
      <c r="W4" s="614"/>
      <c r="X4" s="614"/>
      <c r="Y4" s="619"/>
      <c r="Z4" s="619"/>
      <c r="AA4" s="619"/>
      <c r="AB4" s="619"/>
      <c r="AC4" s="619"/>
      <c r="AD4" s="619"/>
      <c r="AE4" s="619"/>
      <c r="AF4" s="619"/>
      <c r="AG4" s="619"/>
      <c r="AH4" s="619"/>
      <c r="AI4" s="619"/>
      <c r="AJ4" s="619"/>
      <c r="AK4" s="619"/>
      <c r="AL4" s="619"/>
      <c r="AM4" s="619"/>
      <c r="AN4" s="619"/>
      <c r="AO4" s="619"/>
      <c r="AP4" s="619"/>
      <c r="AQ4" s="619"/>
      <c r="AR4" s="619"/>
      <c r="AS4" s="619"/>
      <c r="AT4" s="619"/>
      <c r="AU4" s="619"/>
      <c r="AV4" s="619"/>
      <c r="AW4" s="619"/>
      <c r="AX4" s="619"/>
      <c r="AY4" s="619"/>
      <c r="AZ4" s="619"/>
      <c r="BA4" s="619"/>
      <c r="BB4" s="619"/>
      <c r="BC4" s="619"/>
      <c r="BD4" s="619"/>
      <c r="BE4" s="619"/>
      <c r="BF4" s="619"/>
      <c r="BG4" s="619"/>
      <c r="BH4" s="619"/>
      <c r="BI4" s="619"/>
      <c r="BJ4" s="619"/>
      <c r="BK4" s="619"/>
      <c r="BL4" s="619"/>
      <c r="BM4" s="619"/>
      <c r="BN4" s="619"/>
      <c r="BO4" s="619"/>
      <c r="BP4" s="619"/>
      <c r="BQ4" s="619"/>
      <c r="BR4" s="619"/>
      <c r="BS4" s="619"/>
      <c r="BT4" s="619"/>
      <c r="BU4" s="619"/>
      <c r="BV4" s="619"/>
      <c r="BW4" s="619"/>
      <c r="BX4" s="619"/>
      <c r="BY4" s="619"/>
      <c r="BZ4" s="619"/>
      <c r="CA4" s="619"/>
      <c r="CB4" s="619"/>
      <c r="CC4" s="619"/>
    </row>
    <row r="5" spans="1:81" s="612" customFormat="1" ht="8.1" customHeight="1" x14ac:dyDescent="0.2">
      <c r="A5" s="614"/>
      <c r="B5" s="604"/>
      <c r="C5" s="596"/>
      <c r="D5" s="596"/>
      <c r="E5" s="598"/>
      <c r="F5" s="596"/>
      <c r="G5" s="604"/>
      <c r="H5" s="605"/>
      <c r="I5" s="596"/>
      <c r="J5" s="596"/>
      <c r="K5" s="604"/>
      <c r="L5" s="641"/>
      <c r="M5" s="604"/>
      <c r="N5" s="641"/>
      <c r="R5" s="614"/>
      <c r="S5" s="614"/>
      <c r="T5" s="614"/>
      <c r="U5" s="614"/>
      <c r="V5" s="614"/>
      <c r="W5" s="614"/>
      <c r="X5" s="614"/>
      <c r="Y5" s="619"/>
      <c r="Z5" s="619"/>
      <c r="AA5" s="619"/>
      <c r="AB5" s="619"/>
      <c r="AC5" s="619"/>
      <c r="AD5" s="619"/>
      <c r="AE5" s="619"/>
      <c r="AF5" s="619"/>
      <c r="AG5" s="619"/>
      <c r="AH5" s="619"/>
      <c r="AI5" s="619"/>
      <c r="AJ5" s="619"/>
      <c r="AK5" s="619"/>
      <c r="AL5" s="619"/>
      <c r="AM5" s="619"/>
      <c r="AN5" s="619"/>
      <c r="AO5" s="619"/>
      <c r="AP5" s="619"/>
      <c r="AQ5" s="619"/>
      <c r="AR5" s="619"/>
      <c r="AS5" s="619"/>
      <c r="AT5" s="619"/>
      <c r="AU5" s="619"/>
      <c r="AV5" s="619"/>
      <c r="AW5" s="619"/>
      <c r="AX5" s="619"/>
      <c r="AY5" s="619"/>
      <c r="AZ5" s="619"/>
      <c r="BA5" s="619"/>
      <c r="BB5" s="619"/>
      <c r="BC5" s="619"/>
      <c r="BD5" s="619"/>
      <c r="BE5" s="619"/>
      <c r="BF5" s="619"/>
      <c r="BG5" s="619"/>
      <c r="BH5" s="619"/>
      <c r="BI5" s="619"/>
      <c r="BJ5" s="619"/>
      <c r="BK5" s="619"/>
      <c r="BL5" s="619"/>
      <c r="BM5" s="619"/>
      <c r="BN5" s="619"/>
      <c r="BO5" s="619"/>
      <c r="BP5" s="619"/>
      <c r="BQ5" s="619"/>
      <c r="BR5" s="619"/>
      <c r="BS5" s="619"/>
      <c r="BT5" s="619"/>
      <c r="BU5" s="619"/>
      <c r="BV5" s="619"/>
      <c r="BW5" s="619"/>
      <c r="BX5" s="619"/>
      <c r="BY5" s="619"/>
      <c r="BZ5" s="619"/>
      <c r="CA5" s="619"/>
      <c r="CB5" s="619"/>
      <c r="CC5" s="619"/>
    </row>
    <row r="7" spans="1:81" ht="20.100000000000001" customHeight="1" x14ac:dyDescent="0.2">
      <c r="A7" s="692"/>
      <c r="B7" s="818" t="s">
        <v>145</v>
      </c>
      <c r="C7" s="819"/>
      <c r="D7" s="819" t="s">
        <v>684</v>
      </c>
      <c r="E7" s="819"/>
      <c r="F7" s="819"/>
      <c r="G7" s="818"/>
      <c r="H7" s="820"/>
      <c r="I7" s="818"/>
      <c r="J7" s="821"/>
      <c r="K7" s="821"/>
      <c r="L7" s="821"/>
      <c r="M7" s="821"/>
      <c r="N7" s="821"/>
    </row>
    <row r="8" spans="1:81" x14ac:dyDescent="0.2">
      <c r="A8" s="694"/>
      <c r="B8" s="695"/>
    </row>
    <row r="9" spans="1:81" ht="18.75" customHeight="1" x14ac:dyDescent="0.2">
      <c r="A9" s="694"/>
      <c r="B9" s="782" t="s">
        <v>682</v>
      </c>
      <c r="C9" s="782"/>
      <c r="D9" s="782" t="s">
        <v>442</v>
      </c>
      <c r="E9" s="782"/>
      <c r="F9" s="782" t="s">
        <v>443</v>
      </c>
      <c r="G9" s="782"/>
      <c r="H9" s="782" t="s">
        <v>146</v>
      </c>
      <c r="I9" s="782"/>
      <c r="J9" s="782"/>
      <c r="K9" s="782" t="s">
        <v>18</v>
      </c>
      <c r="L9" s="782"/>
    </row>
    <row r="10" spans="1:81" ht="26.25" customHeight="1" x14ac:dyDescent="0.2">
      <c r="B10" s="827"/>
      <c r="C10" s="828"/>
      <c r="D10" s="827"/>
      <c r="E10" s="827"/>
      <c r="F10" s="827"/>
      <c r="G10" s="827"/>
      <c r="H10" s="827"/>
      <c r="I10" s="827"/>
      <c r="J10" s="696"/>
      <c r="K10" s="827"/>
      <c r="L10" s="827"/>
    </row>
    <row r="11" spans="1:81" ht="26.25" customHeight="1" x14ac:dyDescent="0.2">
      <c r="B11" s="827"/>
      <c r="C11" s="828"/>
      <c r="D11" s="827"/>
      <c r="E11" s="827"/>
      <c r="F11" s="827"/>
      <c r="G11" s="827"/>
      <c r="H11" s="827"/>
      <c r="I11" s="827"/>
      <c r="J11" s="696"/>
      <c r="K11" s="827"/>
      <c r="L11" s="827"/>
    </row>
    <row r="12" spans="1:81" ht="26.25" customHeight="1" x14ac:dyDescent="0.2">
      <c r="A12" s="698"/>
      <c r="B12" s="827"/>
      <c r="C12" s="828"/>
      <c r="D12" s="827"/>
      <c r="E12" s="827"/>
      <c r="F12" s="827"/>
      <c r="G12" s="827"/>
      <c r="H12" s="827"/>
      <c r="I12" s="827"/>
      <c r="J12" s="696"/>
      <c r="K12" s="827"/>
      <c r="L12" s="827"/>
    </row>
    <row r="13" spans="1:81" ht="26.25" customHeight="1" x14ac:dyDescent="0.2">
      <c r="B13" s="827"/>
      <c r="C13" s="828"/>
      <c r="D13" s="827"/>
      <c r="E13" s="827"/>
      <c r="F13" s="827"/>
      <c r="G13" s="827"/>
      <c r="H13" s="827"/>
      <c r="I13" s="827"/>
      <c r="J13" s="696"/>
      <c r="K13" s="827"/>
      <c r="L13" s="827"/>
    </row>
    <row r="14" spans="1:81" ht="26.25" customHeight="1" x14ac:dyDescent="0.2">
      <c r="B14" s="827"/>
      <c r="C14" s="828"/>
      <c r="D14" s="827"/>
      <c r="E14" s="827"/>
      <c r="F14" s="827"/>
      <c r="G14" s="827"/>
      <c r="H14" s="827"/>
      <c r="I14" s="827"/>
      <c r="J14" s="696"/>
      <c r="K14" s="827"/>
      <c r="L14" s="827"/>
    </row>
    <row r="15" spans="1:81" ht="26.25" customHeight="1" x14ac:dyDescent="0.2">
      <c r="B15" s="827"/>
      <c r="C15" s="828"/>
      <c r="D15" s="827"/>
      <c r="E15" s="827"/>
      <c r="F15" s="827"/>
      <c r="G15" s="827"/>
      <c r="H15" s="827"/>
      <c r="I15" s="827"/>
      <c r="J15" s="696"/>
      <c r="K15" s="827"/>
      <c r="L15" s="827"/>
    </row>
    <row r="16" spans="1:81" ht="26.25" customHeight="1" x14ac:dyDescent="0.2">
      <c r="B16" s="827"/>
      <c r="C16" s="828"/>
      <c r="D16" s="827"/>
      <c r="E16" s="827"/>
      <c r="F16" s="827"/>
      <c r="G16" s="827"/>
      <c r="H16" s="827"/>
      <c r="I16" s="827"/>
      <c r="J16" s="696"/>
      <c r="K16" s="827"/>
      <c r="L16" s="827"/>
    </row>
    <row r="17" spans="2:12" ht="26.25" customHeight="1" x14ac:dyDescent="0.2">
      <c r="B17" s="827"/>
      <c r="C17" s="828"/>
      <c r="D17" s="827"/>
      <c r="E17" s="827"/>
      <c r="F17" s="827"/>
      <c r="G17" s="827"/>
      <c r="H17" s="827"/>
      <c r="I17" s="827"/>
      <c r="J17" s="696"/>
      <c r="K17" s="827"/>
      <c r="L17" s="827"/>
    </row>
    <row r="18" spans="2:12" ht="26.25" customHeight="1" x14ac:dyDescent="0.2">
      <c r="B18" s="827"/>
      <c r="C18" s="828"/>
      <c r="D18" s="827"/>
      <c r="E18" s="827"/>
      <c r="F18" s="827"/>
      <c r="G18" s="827"/>
      <c r="H18" s="827"/>
      <c r="I18" s="827"/>
      <c r="J18" s="696"/>
      <c r="K18" s="827"/>
      <c r="L18" s="827"/>
    </row>
    <row r="19" spans="2:12" ht="26.25" customHeight="1" x14ac:dyDescent="0.2">
      <c r="B19" s="827"/>
      <c r="C19" s="828"/>
      <c r="D19" s="827"/>
      <c r="E19" s="827"/>
      <c r="F19" s="827"/>
      <c r="G19" s="827"/>
      <c r="H19" s="827"/>
      <c r="I19" s="827"/>
      <c r="J19" s="696"/>
      <c r="K19" s="827"/>
      <c r="L19" s="827"/>
    </row>
    <row r="20" spans="2:12" ht="26.25" customHeight="1" x14ac:dyDescent="0.2">
      <c r="B20" s="827"/>
      <c r="C20" s="828"/>
      <c r="D20" s="827"/>
      <c r="E20" s="827"/>
      <c r="F20" s="827"/>
      <c r="G20" s="827"/>
      <c r="H20" s="827"/>
      <c r="I20" s="827"/>
      <c r="J20" s="696"/>
      <c r="K20" s="827"/>
      <c r="L20" s="827"/>
    </row>
    <row r="21" spans="2:12" ht="26.25" customHeight="1" x14ac:dyDescent="0.2">
      <c r="B21" s="827"/>
      <c r="C21" s="828"/>
      <c r="D21" s="827"/>
      <c r="E21" s="827"/>
      <c r="F21" s="827"/>
      <c r="G21" s="827"/>
      <c r="H21" s="827"/>
      <c r="I21" s="827"/>
      <c r="J21" s="696"/>
      <c r="K21" s="827"/>
      <c r="L21" s="827"/>
    </row>
    <row r="22" spans="2:12" ht="26.25" customHeight="1" x14ac:dyDescent="0.2">
      <c r="B22" s="827"/>
      <c r="C22" s="828"/>
      <c r="D22" s="827"/>
      <c r="E22" s="827"/>
      <c r="F22" s="827"/>
      <c r="G22" s="827"/>
      <c r="H22" s="827"/>
      <c r="I22" s="827"/>
      <c r="J22" s="696"/>
      <c r="K22" s="827"/>
      <c r="L22" s="827"/>
    </row>
    <row r="23" spans="2:12" ht="26.25" customHeight="1" x14ac:dyDescent="0.2">
      <c r="B23" s="827"/>
      <c r="C23" s="828"/>
      <c r="D23" s="827"/>
      <c r="E23" s="827"/>
      <c r="F23" s="827"/>
      <c r="G23" s="827"/>
      <c r="H23" s="827"/>
      <c r="I23" s="827"/>
      <c r="J23" s="696"/>
      <c r="K23" s="827"/>
      <c r="L23" s="827"/>
    </row>
    <row r="24" spans="2:12" ht="26.25" customHeight="1" x14ac:dyDescent="0.2">
      <c r="B24" s="827"/>
      <c r="C24" s="828"/>
      <c r="D24" s="827"/>
      <c r="E24" s="827"/>
      <c r="F24" s="827"/>
      <c r="G24" s="827"/>
      <c r="H24" s="827"/>
      <c r="I24" s="827"/>
      <c r="J24" s="696"/>
      <c r="K24" s="827"/>
      <c r="L24" s="827"/>
    </row>
    <row r="25" spans="2:12" ht="26.25" customHeight="1" x14ac:dyDescent="0.2">
      <c r="B25" s="827"/>
      <c r="C25" s="828"/>
      <c r="D25" s="827"/>
      <c r="E25" s="827"/>
      <c r="F25" s="827"/>
      <c r="G25" s="827"/>
      <c r="H25" s="827"/>
      <c r="I25" s="827"/>
      <c r="J25" s="696"/>
      <c r="K25" s="827"/>
      <c r="L25" s="827"/>
    </row>
    <row r="26" spans="2:12" ht="26.25" customHeight="1" x14ac:dyDescent="0.2">
      <c r="B26" s="827"/>
      <c r="C26" s="828"/>
      <c r="D26" s="827"/>
      <c r="E26" s="827"/>
      <c r="F26" s="827"/>
      <c r="G26" s="827"/>
      <c r="H26" s="827"/>
      <c r="I26" s="827"/>
      <c r="J26" s="696"/>
      <c r="K26" s="827"/>
      <c r="L26" s="827"/>
    </row>
    <row r="27" spans="2:12" ht="26.25" customHeight="1" x14ac:dyDescent="0.2">
      <c r="B27" s="827"/>
      <c r="C27" s="828"/>
      <c r="D27" s="827"/>
      <c r="E27" s="827"/>
      <c r="F27" s="827"/>
      <c r="G27" s="827"/>
      <c r="H27" s="827"/>
      <c r="I27" s="827"/>
      <c r="J27" s="696"/>
      <c r="K27" s="827"/>
      <c r="L27" s="827"/>
    </row>
    <row r="28" spans="2:12" ht="26.25" customHeight="1" x14ac:dyDescent="0.2">
      <c r="B28" s="827"/>
      <c r="C28" s="828"/>
      <c r="D28" s="827"/>
      <c r="E28" s="827"/>
      <c r="F28" s="827"/>
      <c r="G28" s="827"/>
      <c r="H28" s="827"/>
      <c r="I28" s="827"/>
      <c r="J28" s="696"/>
      <c r="K28" s="827"/>
      <c r="L28" s="827"/>
    </row>
    <row r="29" spans="2:12" ht="26.25" customHeight="1" x14ac:dyDescent="0.2">
      <c r="B29" s="827"/>
      <c r="C29" s="828"/>
      <c r="D29" s="827"/>
      <c r="E29" s="827"/>
      <c r="F29" s="827"/>
      <c r="G29" s="827"/>
      <c r="H29" s="827"/>
      <c r="I29" s="827"/>
      <c r="J29" s="696"/>
      <c r="K29" s="827"/>
      <c r="L29" s="827"/>
    </row>
    <row r="30" spans="2:12" ht="26.25" customHeight="1" x14ac:dyDescent="0.2">
      <c r="B30" s="827"/>
      <c r="C30" s="828"/>
      <c r="D30" s="827"/>
      <c r="E30" s="827"/>
      <c r="F30" s="827"/>
      <c r="G30" s="827"/>
      <c r="H30" s="827"/>
      <c r="I30" s="827"/>
      <c r="J30" s="696"/>
      <c r="K30" s="827"/>
      <c r="L30" s="827"/>
    </row>
    <row r="31" spans="2:12" ht="26.25" customHeight="1" x14ac:dyDescent="0.2">
      <c r="B31" s="827"/>
      <c r="C31" s="828"/>
      <c r="D31" s="827"/>
      <c r="E31" s="827"/>
      <c r="F31" s="827"/>
      <c r="G31" s="827"/>
      <c r="H31" s="827"/>
      <c r="I31" s="827"/>
      <c r="J31" s="696"/>
      <c r="K31" s="827"/>
      <c r="L31" s="827"/>
    </row>
    <row r="32" spans="2:12" ht="26.25" customHeight="1" x14ac:dyDescent="0.2">
      <c r="B32" s="827"/>
      <c r="C32" s="828"/>
      <c r="D32" s="827"/>
      <c r="E32" s="827"/>
      <c r="F32" s="827"/>
      <c r="G32" s="827"/>
      <c r="H32" s="827"/>
      <c r="I32" s="827"/>
      <c r="J32" s="696"/>
      <c r="K32" s="827"/>
      <c r="L32" s="827"/>
    </row>
    <row r="33" spans="2:12" ht="26.25" customHeight="1" x14ac:dyDescent="0.2">
      <c r="B33" s="827"/>
      <c r="C33" s="828"/>
      <c r="D33" s="827"/>
      <c r="E33" s="827"/>
      <c r="F33" s="827"/>
      <c r="G33" s="827"/>
      <c r="H33" s="827"/>
      <c r="I33" s="827"/>
      <c r="J33" s="696"/>
      <c r="K33" s="827"/>
      <c r="L33" s="827"/>
    </row>
    <row r="34" spans="2:12" ht="26.25" customHeight="1" x14ac:dyDescent="0.2">
      <c r="B34" s="827"/>
      <c r="C34" s="828"/>
      <c r="D34" s="827"/>
      <c r="E34" s="827"/>
      <c r="F34" s="827"/>
      <c r="G34" s="827"/>
      <c r="H34" s="827"/>
      <c r="I34" s="827"/>
      <c r="J34" s="696"/>
      <c r="K34" s="827"/>
      <c r="L34" s="827"/>
    </row>
    <row r="35" spans="2:12" ht="26.25" customHeight="1" x14ac:dyDescent="0.2">
      <c r="B35" s="827"/>
      <c r="C35" s="828"/>
      <c r="D35" s="827"/>
      <c r="E35" s="827"/>
      <c r="F35" s="827"/>
      <c r="G35" s="827"/>
      <c r="H35" s="827"/>
      <c r="I35" s="827"/>
      <c r="J35" s="696"/>
      <c r="K35" s="827"/>
      <c r="L35" s="827"/>
    </row>
    <row r="36" spans="2:12" ht="26.25" customHeight="1" x14ac:dyDescent="0.2">
      <c r="B36" s="827"/>
      <c r="C36" s="828"/>
      <c r="D36" s="827"/>
      <c r="E36" s="827"/>
      <c r="F36" s="827"/>
      <c r="G36" s="827"/>
      <c r="H36" s="827"/>
      <c r="I36" s="827"/>
      <c r="J36" s="696"/>
      <c r="K36" s="827"/>
      <c r="L36" s="827"/>
    </row>
    <row r="37" spans="2:12" ht="26.25" customHeight="1" x14ac:dyDescent="0.2">
      <c r="B37" s="827"/>
      <c r="C37" s="828"/>
      <c r="D37" s="827"/>
      <c r="E37" s="827"/>
      <c r="F37" s="827"/>
      <c r="G37" s="827"/>
      <c r="H37" s="827"/>
      <c r="I37" s="827"/>
      <c r="J37" s="696"/>
      <c r="K37" s="827"/>
      <c r="L37" s="827"/>
    </row>
    <row r="38" spans="2:12" ht="26.25" customHeight="1" x14ac:dyDescent="0.2">
      <c r="B38" s="827"/>
      <c r="C38" s="828"/>
      <c r="D38" s="827"/>
      <c r="E38" s="827"/>
      <c r="F38" s="827"/>
      <c r="G38" s="827"/>
      <c r="H38" s="827"/>
      <c r="I38" s="827"/>
      <c r="J38" s="696"/>
      <c r="K38" s="827"/>
      <c r="L38" s="827"/>
    </row>
    <row r="39" spans="2:12" ht="26.25" customHeight="1" x14ac:dyDescent="0.2">
      <c r="B39" s="827"/>
      <c r="C39" s="828"/>
      <c r="D39" s="827"/>
      <c r="E39" s="827"/>
      <c r="F39" s="827"/>
      <c r="G39" s="827"/>
      <c r="H39" s="827"/>
      <c r="I39" s="827"/>
      <c r="J39" s="696"/>
      <c r="K39" s="827"/>
      <c r="L39" s="827"/>
    </row>
    <row r="40" spans="2:12" ht="26.25" customHeight="1" x14ac:dyDescent="0.2">
      <c r="B40" s="827"/>
      <c r="C40" s="828"/>
      <c r="D40" s="827"/>
      <c r="E40" s="827"/>
      <c r="F40" s="827"/>
      <c r="G40" s="827"/>
      <c r="H40" s="827"/>
      <c r="I40" s="827"/>
      <c r="J40" s="696"/>
      <c r="K40" s="827"/>
      <c r="L40" s="827"/>
    </row>
    <row r="41" spans="2:12" ht="26.25" customHeight="1" x14ac:dyDescent="0.2">
      <c r="B41" s="827"/>
      <c r="C41" s="828"/>
      <c r="D41" s="827"/>
      <c r="E41" s="827"/>
      <c r="F41" s="827"/>
      <c r="G41" s="827"/>
      <c r="H41" s="827"/>
      <c r="I41" s="827"/>
      <c r="J41" s="696"/>
      <c r="K41" s="827"/>
      <c r="L41" s="827"/>
    </row>
    <row r="42" spans="2:12" ht="15.95" customHeight="1" x14ac:dyDescent="0.2">
      <c r="B42" s="696"/>
      <c r="C42" s="697"/>
      <c r="D42" s="696"/>
      <c r="E42" s="696"/>
      <c r="F42" s="696"/>
      <c r="G42" s="696"/>
      <c r="H42" s="696"/>
      <c r="I42" s="696"/>
      <c r="J42" s="696"/>
      <c r="K42" s="696"/>
      <c r="L42" s="696"/>
    </row>
    <row r="43" spans="2:12" ht="20.100000000000001" customHeight="1" x14ac:dyDescent="0.2">
      <c r="B43" s="783" t="s">
        <v>285</v>
      </c>
      <c r="C43" s="783"/>
      <c r="D43" s="878" t="str">
        <f>IF(_Ped_Lab_Opm=0,"",_Ped_Lab_Opm)</f>
        <v/>
      </c>
      <c r="E43" s="879"/>
      <c r="F43" s="879"/>
      <c r="G43" s="879"/>
      <c r="H43" s="879"/>
      <c r="I43" s="879"/>
      <c r="J43" s="879"/>
      <c r="K43" s="879"/>
      <c r="L43" s="879"/>
    </row>
    <row r="44" spans="2:12" ht="20.100000000000001" customHeight="1" x14ac:dyDescent="0.2">
      <c r="B44" s="783"/>
      <c r="C44" s="783"/>
      <c r="D44" s="879"/>
      <c r="E44" s="879"/>
      <c r="F44" s="879"/>
      <c r="G44" s="879"/>
      <c r="H44" s="879"/>
      <c r="I44" s="879"/>
      <c r="J44" s="879"/>
      <c r="K44" s="879"/>
      <c r="L44" s="879"/>
    </row>
  </sheetData>
  <sheetProtection password="CC20" sheet="1" objects="1" scenario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M43" sqref="M43"/>
    </sheetView>
  </sheetViews>
  <sheetFormatPr defaultColWidth="9.140625" defaultRowHeight="12.75" x14ac:dyDescent="0.2"/>
  <cols>
    <col min="1" max="16384" width="9.140625" style="154"/>
  </cols>
  <sheetData>
    <row r="1" spans="1:16" x14ac:dyDescent="0.2">
      <c r="A1" s="351"/>
    </row>
    <row r="3" spans="1:16" x14ac:dyDescent="0.2">
      <c r="A3" s="170" t="s">
        <v>681</v>
      </c>
      <c r="B3" s="154" t="s">
        <v>682</v>
      </c>
      <c r="D3" s="170" t="s">
        <v>442</v>
      </c>
      <c r="E3" s="154" t="b">
        <v>1</v>
      </c>
      <c r="F3" s="170" t="s">
        <v>443</v>
      </c>
      <c r="G3" s="154" t="b">
        <v>1</v>
      </c>
      <c r="H3" s="170" t="s">
        <v>146</v>
      </c>
      <c r="I3" s="154" t="b">
        <v>1</v>
      </c>
      <c r="K3" s="170" t="s">
        <v>683</v>
      </c>
      <c r="M3" s="170"/>
      <c r="O3" s="170"/>
    </row>
    <row r="4" spans="1:16" x14ac:dyDescent="0.2">
      <c r="B4" s="154" t="str">
        <f>IF(C4,"A","")</f>
        <v/>
      </c>
      <c r="C4" s="477" t="b">
        <v>0</v>
      </c>
      <c r="D4" s="154" t="str">
        <f>IF(E4,"A","")</f>
        <v/>
      </c>
      <c r="E4" s="477" t="b">
        <v>0</v>
      </c>
      <c r="F4" s="154" t="str">
        <f>IF(G4,"A","")</f>
        <v/>
      </c>
      <c r="G4" s="477" t="b">
        <v>0</v>
      </c>
      <c r="H4" s="154" t="str">
        <f>IF(I4,"A","")</f>
        <v/>
      </c>
      <c r="I4" s="477" t="b">
        <v>0</v>
      </c>
      <c r="K4" s="154" t="str">
        <f>IF(L4,"A","")</f>
        <v/>
      </c>
      <c r="L4" s="477" t="b">
        <v>0</v>
      </c>
      <c r="N4" s="351"/>
      <c r="P4" s="351"/>
    </row>
    <row r="5" spans="1:16" x14ac:dyDescent="0.2">
      <c r="B5" s="154" t="str">
        <f>IF(C5,"Na K","")</f>
        <v/>
      </c>
      <c r="C5" s="477" t="b">
        <v>0</v>
      </c>
      <c r="D5" s="154" t="str">
        <f>IF(E5,"Na K","")</f>
        <v/>
      </c>
      <c r="E5" s="477" t="b">
        <v>0</v>
      </c>
      <c r="F5" s="154" t="str">
        <f>IF(G5,"Na K","")</f>
        <v/>
      </c>
      <c r="G5" s="477" t="b">
        <v>0</v>
      </c>
      <c r="H5" s="154" t="str">
        <f>IF(I5,"Na K","")</f>
        <v/>
      </c>
      <c r="I5" s="477" t="b">
        <v>0</v>
      </c>
      <c r="K5" s="154" t="str">
        <f>IF(L5,"Na K","")</f>
        <v/>
      </c>
      <c r="L5" s="477" t="b">
        <v>0</v>
      </c>
      <c r="N5" s="351"/>
      <c r="P5" s="351"/>
    </row>
    <row r="6" spans="1:16" x14ac:dyDescent="0.2">
      <c r="A6" s="351"/>
      <c r="B6" s="154" t="str">
        <f>IF(C6,"Cl","")</f>
        <v/>
      </c>
      <c r="C6" s="477" t="b">
        <v>0</v>
      </c>
      <c r="D6" s="154" t="str">
        <f>IF(E6,"Cl","")</f>
        <v/>
      </c>
      <c r="E6" s="477" t="b">
        <v>0</v>
      </c>
      <c r="F6" s="154" t="str">
        <f>IF(G6,"Cl","")</f>
        <v/>
      </c>
      <c r="G6" s="477" t="b">
        <v>0</v>
      </c>
      <c r="H6" s="154" t="str">
        <f>IF(I6,"Cl","")</f>
        <v/>
      </c>
      <c r="I6" s="477" t="b">
        <v>0</v>
      </c>
      <c r="K6" s="154" t="str">
        <f>IF(L6,"Cl","")</f>
        <v/>
      </c>
      <c r="L6" s="477" t="b">
        <v>0</v>
      </c>
      <c r="N6" s="351"/>
      <c r="P6" s="351"/>
    </row>
    <row r="7" spans="1:16" x14ac:dyDescent="0.2">
      <c r="B7" s="154" t="str">
        <f>IF(C7,"Gluc","")</f>
        <v/>
      </c>
      <c r="C7" s="477" t="b">
        <v>0</v>
      </c>
      <c r="D7" s="154" t="str">
        <f>IF(E7,"Gluc","")</f>
        <v/>
      </c>
      <c r="E7" s="477" t="b">
        <v>0</v>
      </c>
      <c r="F7" s="154" t="str">
        <f>IF(G7,"Gluc","")</f>
        <v/>
      </c>
      <c r="G7" s="477" t="b">
        <v>0</v>
      </c>
      <c r="H7" s="154" t="str">
        <f>IF(I7,"Gluc","")</f>
        <v/>
      </c>
      <c r="I7" s="477" t="b">
        <v>0</v>
      </c>
      <c r="K7" s="154" t="str">
        <f>IF(L7,"Gluc","")</f>
        <v/>
      </c>
      <c r="L7" s="477" t="b">
        <v>0</v>
      </c>
      <c r="N7" s="351"/>
      <c r="P7" s="351"/>
    </row>
    <row r="8" spans="1:16" x14ac:dyDescent="0.2">
      <c r="B8" s="154" t="str">
        <f>IF(C8,"Hb Ht","")</f>
        <v/>
      </c>
      <c r="C8" s="477" t="b">
        <v>0</v>
      </c>
      <c r="D8" s="154" t="str">
        <f>IF(E8,"Hb Ht","")</f>
        <v/>
      </c>
      <c r="E8" s="477" t="b">
        <v>0</v>
      </c>
      <c r="F8" s="154" t="str">
        <f>IF(G8,"Hb Ht","")</f>
        <v/>
      </c>
      <c r="G8" s="477" t="b">
        <v>0</v>
      </c>
      <c r="H8" s="154" t="str">
        <f>IF(I8,"Hb Ht","")</f>
        <v/>
      </c>
      <c r="I8" s="477" t="b">
        <v>0</v>
      </c>
      <c r="K8" s="154" t="str">
        <f>IF(L8,"Hb Ht","")</f>
        <v/>
      </c>
      <c r="L8" s="477" t="b">
        <v>0</v>
      </c>
      <c r="N8" s="351"/>
      <c r="P8" s="351"/>
    </row>
    <row r="9" spans="1:16" x14ac:dyDescent="0.2">
      <c r="B9" s="154" t="str">
        <f>IF(C9,"L","")</f>
        <v/>
      </c>
      <c r="C9" s="477" t="b">
        <v>0</v>
      </c>
      <c r="D9" s="154" t="str">
        <f>IF(E9,"L","")</f>
        <v/>
      </c>
      <c r="E9" s="477" t="b">
        <v>0</v>
      </c>
      <c r="F9" s="154" t="str">
        <f>IF(G9,"L","")</f>
        <v/>
      </c>
      <c r="G9" s="477" t="b">
        <v>0</v>
      </c>
      <c r="H9" s="154" t="str">
        <f>IF(I9,"L","")</f>
        <v/>
      </c>
      <c r="I9" s="477" t="b">
        <v>0</v>
      </c>
      <c r="K9" s="154" t="str">
        <f>IF(L9,"L","")</f>
        <v/>
      </c>
      <c r="L9" s="477" t="b">
        <v>0</v>
      </c>
      <c r="N9" s="351"/>
      <c r="P9" s="351"/>
    </row>
    <row r="10" spans="1:16" x14ac:dyDescent="0.2">
      <c r="B10" s="154" t="str">
        <f>IF(C10,"T","")</f>
        <v/>
      </c>
      <c r="C10" s="477" t="b">
        <v>0</v>
      </c>
      <c r="D10" s="154" t="str">
        <f>IF(E10,"T","")</f>
        <v/>
      </c>
      <c r="E10" s="477" t="b">
        <v>0</v>
      </c>
      <c r="F10" s="154" t="str">
        <f>IF(G10,"T","")</f>
        <v/>
      </c>
      <c r="G10" s="477" t="b">
        <v>0</v>
      </c>
      <c r="H10" s="154" t="str">
        <f>IF(I10,"T","")</f>
        <v/>
      </c>
      <c r="I10" s="477" t="b">
        <v>0</v>
      </c>
      <c r="K10" s="154" t="str">
        <f>IF(L10,"T","")</f>
        <v/>
      </c>
      <c r="L10" s="477" t="b">
        <v>0</v>
      </c>
      <c r="N10" s="351"/>
      <c r="P10" s="351"/>
    </row>
    <row r="11" spans="1:16" x14ac:dyDescent="0.2">
      <c r="B11" s="154" t="str">
        <f>IF(C11,"CRP","")</f>
        <v/>
      </c>
      <c r="C11" s="477" t="b">
        <v>0</v>
      </c>
      <c r="D11" s="154" t="str">
        <f>IF(E11,"CRP","")</f>
        <v/>
      </c>
      <c r="E11" s="477" t="b">
        <v>0</v>
      </c>
      <c r="F11" s="154" t="str">
        <f>IF(G11,"CRP","")</f>
        <v/>
      </c>
      <c r="G11" s="477" t="b">
        <v>0</v>
      </c>
      <c r="H11" s="154" t="str">
        <f>IF(I11,"CRP","")</f>
        <v/>
      </c>
      <c r="I11" s="477" t="b">
        <v>0</v>
      </c>
      <c r="K11" s="154" t="str">
        <f>IF(L11,"CRP","")</f>
        <v/>
      </c>
      <c r="L11" s="477" t="b">
        <v>0</v>
      </c>
      <c r="N11" s="351"/>
      <c r="P11" s="351"/>
    </row>
    <row r="12" spans="1:16" x14ac:dyDescent="0.2">
      <c r="B12" s="154" t="str">
        <f>IF(C12,"Lac","")</f>
        <v/>
      </c>
      <c r="C12" s="477" t="b">
        <v>0</v>
      </c>
      <c r="D12" s="154" t="str">
        <f>IF(E12,"Lac","")</f>
        <v/>
      </c>
      <c r="E12" s="477" t="b">
        <v>0</v>
      </c>
      <c r="F12" s="154" t="str">
        <f>IF(G12,"Lac","")</f>
        <v/>
      </c>
      <c r="G12" s="477" t="b">
        <v>0</v>
      </c>
      <c r="H12" s="154" t="str">
        <f>IF(I12,"Lac","")</f>
        <v/>
      </c>
      <c r="I12" s="477" t="b">
        <v>0</v>
      </c>
      <c r="K12" s="154" t="str">
        <f>IF(L12,"Lac","")</f>
        <v/>
      </c>
      <c r="L12" s="477" t="b">
        <v>0</v>
      </c>
      <c r="N12" s="351"/>
      <c r="P12" s="351"/>
    </row>
    <row r="13" spans="1:16" x14ac:dyDescent="0.2">
      <c r="B13" s="154" t="str">
        <f>IF(C13,"Ur","")</f>
        <v/>
      </c>
      <c r="C13" s="477" t="b">
        <v>0</v>
      </c>
      <c r="D13" s="154" t="str">
        <f>IF(E13,"Ur","")</f>
        <v/>
      </c>
      <c r="E13" s="477" t="b">
        <v>0</v>
      </c>
      <c r="F13" s="154" t="str">
        <f>IF(G13,"Ur","")</f>
        <v/>
      </c>
      <c r="G13" s="477" t="b">
        <v>0</v>
      </c>
      <c r="H13" s="154" t="str">
        <f>IF(I13,"Ur","")</f>
        <v/>
      </c>
      <c r="I13" s="477" t="b">
        <v>0</v>
      </c>
      <c r="K13" s="154" t="str">
        <f>IF(L13,"Ur","")</f>
        <v/>
      </c>
      <c r="L13" s="477" t="b">
        <v>0</v>
      </c>
      <c r="N13" s="351"/>
      <c r="P13" s="351"/>
    </row>
    <row r="14" spans="1:16" x14ac:dyDescent="0.2">
      <c r="B14" s="154" t="str">
        <f>IF(C14,"Kr","")</f>
        <v/>
      </c>
      <c r="C14" s="477" t="b">
        <v>0</v>
      </c>
      <c r="D14" s="154" t="str">
        <f>IF(E14,"Kr","")</f>
        <v/>
      </c>
      <c r="E14" s="477" t="b">
        <v>0</v>
      </c>
      <c r="F14" s="154" t="str">
        <f>IF(G14,"Kr","")</f>
        <v/>
      </c>
      <c r="G14" s="477" t="b">
        <v>0</v>
      </c>
      <c r="H14" s="154" t="str">
        <f>IF(I14,"Kr","")</f>
        <v/>
      </c>
      <c r="I14" s="477" t="b">
        <v>0</v>
      </c>
      <c r="K14" s="154" t="str">
        <f>IF(L14,"Kr","")</f>
        <v/>
      </c>
      <c r="L14" s="477" t="b">
        <v>0</v>
      </c>
      <c r="N14" s="351"/>
      <c r="P14" s="351"/>
    </row>
    <row r="15" spans="1:16" x14ac:dyDescent="0.2">
      <c r="B15" s="154" t="str">
        <f>IF(C15,"Ca++","")</f>
        <v/>
      </c>
      <c r="C15" s="477" t="b">
        <v>0</v>
      </c>
      <c r="D15" s="154" t="str">
        <f>IF(E15,"Ca++","")</f>
        <v/>
      </c>
      <c r="E15" s="477" t="b">
        <v>0</v>
      </c>
      <c r="F15" s="154" t="str">
        <f>IF(G15,"Ca++","")</f>
        <v/>
      </c>
      <c r="G15" s="477" t="b">
        <v>0</v>
      </c>
      <c r="H15" s="154" t="str">
        <f>IF(I15,"Ca++","")</f>
        <v/>
      </c>
      <c r="I15" s="477" t="b">
        <v>0</v>
      </c>
      <c r="K15" s="154" t="str">
        <f>IF(L15,"Ca++","")</f>
        <v/>
      </c>
      <c r="L15" s="477" t="b">
        <v>0</v>
      </c>
      <c r="N15" s="351"/>
      <c r="P15" s="351"/>
    </row>
    <row r="16" spans="1:16" x14ac:dyDescent="0.2">
      <c r="B16" s="154" t="str">
        <f>IF(C16,"Mg++","")</f>
        <v/>
      </c>
      <c r="C16" s="477" t="b">
        <v>0</v>
      </c>
      <c r="D16" s="154" t="str">
        <f>IF(E16,"Mg++","")</f>
        <v/>
      </c>
      <c r="E16" s="477" t="b">
        <v>0</v>
      </c>
      <c r="F16" s="154" t="str">
        <f>IF(G16,"Mg++","")</f>
        <v/>
      </c>
      <c r="G16" s="477" t="b">
        <v>0</v>
      </c>
      <c r="H16" s="154" t="str">
        <f>IF(I16,"Mg++","")</f>
        <v/>
      </c>
      <c r="I16" s="477" t="b">
        <v>0</v>
      </c>
      <c r="K16" s="154" t="str">
        <f>IF(L16,"Mg++","")</f>
        <v/>
      </c>
      <c r="L16" s="477" t="b">
        <v>0</v>
      </c>
      <c r="N16" s="351"/>
      <c r="P16" s="351"/>
    </row>
    <row r="17" spans="2:16" x14ac:dyDescent="0.2">
      <c r="B17" s="154" t="str">
        <f>IF(C17,"Fosfaat","")</f>
        <v/>
      </c>
      <c r="C17" s="477" t="b">
        <v>0</v>
      </c>
      <c r="D17" s="154" t="str">
        <f>IF(E17,"Fosfaat","")</f>
        <v/>
      </c>
      <c r="E17" s="477" t="b">
        <v>0</v>
      </c>
      <c r="F17" s="154" t="str">
        <f>IF(G17,"Fosfaat","")</f>
        <v/>
      </c>
      <c r="G17" s="477" t="b">
        <v>0</v>
      </c>
      <c r="H17" s="154" t="str">
        <f>IF(I17,"Fosfaat","")</f>
        <v/>
      </c>
      <c r="I17" s="477" t="b">
        <v>0</v>
      </c>
      <c r="K17" s="154" t="str">
        <f>IF(L17,"Fosfaat","")</f>
        <v/>
      </c>
      <c r="L17" s="477" t="b">
        <v>0</v>
      </c>
      <c r="N17" s="351"/>
      <c r="P17" s="351"/>
    </row>
    <row r="18" spans="2:16" x14ac:dyDescent="0.2">
      <c r="B18" s="154" t="str">
        <f>IF(C18,"Alb","")</f>
        <v/>
      </c>
      <c r="C18" s="477" t="b">
        <v>0</v>
      </c>
      <c r="D18" s="154" t="str">
        <f>IF(E18,"Alb","")</f>
        <v/>
      </c>
      <c r="E18" s="477" t="b">
        <v>0</v>
      </c>
      <c r="F18" s="154" t="str">
        <f>IF(G18,"Alb","")</f>
        <v/>
      </c>
      <c r="G18" s="477" t="b">
        <v>0</v>
      </c>
      <c r="H18" s="154" t="str">
        <f>IF(I18,"Alb","")</f>
        <v/>
      </c>
      <c r="I18" s="477" t="b">
        <v>0</v>
      </c>
      <c r="K18" s="154" t="str">
        <f>IF(L18,"Alb","")</f>
        <v/>
      </c>
      <c r="L18" s="477" t="b">
        <v>0</v>
      </c>
      <c r="N18" s="351"/>
      <c r="P18" s="351"/>
    </row>
    <row r="19" spans="2:16" x14ac:dyDescent="0.2">
      <c r="B19" s="154" t="str">
        <f>IF(C19,"Ca","")</f>
        <v/>
      </c>
      <c r="C19" s="477" t="b">
        <v>0</v>
      </c>
      <c r="D19" s="154" t="str">
        <f>IF(E19,"Ca","")</f>
        <v/>
      </c>
      <c r="E19" s="477" t="b">
        <v>0</v>
      </c>
      <c r="F19" s="154" t="str">
        <f>IF(G19,"Ca","")</f>
        <v/>
      </c>
      <c r="G19" s="477" t="b">
        <v>0</v>
      </c>
      <c r="H19" s="154" t="str">
        <f>IF(I19,"Ca","")</f>
        <v/>
      </c>
      <c r="I19" s="477" t="b">
        <v>0</v>
      </c>
      <c r="K19" s="154" t="str">
        <f>IF(L19,"Ca","")</f>
        <v/>
      </c>
      <c r="L19" s="477" t="b">
        <v>0</v>
      </c>
      <c r="N19" s="351"/>
      <c r="P19" s="351"/>
    </row>
    <row r="20" spans="2:16" x14ac:dyDescent="0.2">
      <c r="B20" s="154" t="str">
        <f>IF(C20,"ASAT","")</f>
        <v/>
      </c>
      <c r="C20" s="477" t="b">
        <v>0</v>
      </c>
      <c r="D20" s="154" t="str">
        <f>IF(E20,"ASAT","")</f>
        <v/>
      </c>
      <c r="E20" s="477" t="b">
        <v>0</v>
      </c>
      <c r="F20" s="154" t="str">
        <f>IF(G20,"ASAT","")</f>
        <v/>
      </c>
      <c r="G20" s="477" t="b">
        <v>0</v>
      </c>
      <c r="H20" s="154" t="str">
        <f>IF(I20,"ASAT","")</f>
        <v/>
      </c>
      <c r="I20" s="477" t="b">
        <v>0</v>
      </c>
      <c r="K20" s="154" t="str">
        <f>IF(L20,"ASAT","")</f>
        <v/>
      </c>
      <c r="L20" s="477" t="b">
        <v>0</v>
      </c>
      <c r="N20" s="351"/>
      <c r="P20" s="351"/>
    </row>
    <row r="21" spans="2:16" x14ac:dyDescent="0.2">
      <c r="B21" s="154" t="str">
        <f>IF(C21,"ALAT","")</f>
        <v/>
      </c>
      <c r="C21" s="477" t="b">
        <v>0</v>
      </c>
      <c r="D21" s="154" t="str">
        <f>IF(E21,"ALAT","")</f>
        <v/>
      </c>
      <c r="E21" s="477" t="b">
        <v>0</v>
      </c>
      <c r="F21" s="154" t="str">
        <f>IF(G21,"ALAT","")</f>
        <v/>
      </c>
      <c r="G21" s="477" t="b">
        <v>0</v>
      </c>
      <c r="H21" s="154" t="str">
        <f>IF(I21,"ALAT","")</f>
        <v/>
      </c>
      <c r="I21" s="477" t="b">
        <v>0</v>
      </c>
      <c r="K21" s="154" t="str">
        <f>IF(L21,"Alat","")</f>
        <v/>
      </c>
      <c r="L21" s="477" t="b">
        <v>0</v>
      </c>
      <c r="N21" s="351"/>
      <c r="P21" s="351"/>
    </row>
    <row r="22" spans="2:16" x14ac:dyDescent="0.2">
      <c r="B22" s="154" t="str">
        <f>IF(C22,"GGT","")</f>
        <v/>
      </c>
      <c r="C22" s="477" t="b">
        <v>0</v>
      </c>
      <c r="D22" s="154" t="str">
        <f>IF(E22,"GGT","")</f>
        <v/>
      </c>
      <c r="E22" s="477" t="b">
        <v>0</v>
      </c>
      <c r="F22" s="154" t="str">
        <f>IF(G22,"GGT","")</f>
        <v/>
      </c>
      <c r="G22" s="477" t="b">
        <v>0</v>
      </c>
      <c r="H22" s="154" t="str">
        <f>IF(I22,"GGT","")</f>
        <v/>
      </c>
      <c r="I22" s="477" t="b">
        <v>0</v>
      </c>
      <c r="K22" s="154" t="str">
        <f>IF(L22,"GGT","")</f>
        <v/>
      </c>
      <c r="L22" s="477" t="b">
        <v>0</v>
      </c>
      <c r="N22" s="351"/>
      <c r="P22" s="351"/>
    </row>
    <row r="23" spans="2:16" x14ac:dyDescent="0.2">
      <c r="B23" s="154" t="str">
        <f>IF(C23,"AF","")</f>
        <v/>
      </c>
      <c r="C23" s="477" t="b">
        <v>0</v>
      </c>
      <c r="D23" s="154" t="str">
        <f>IF(E23,"AF","")</f>
        <v/>
      </c>
      <c r="E23" s="477" t="b">
        <v>0</v>
      </c>
      <c r="F23" s="154" t="str">
        <f>IF(G23,"AF","")</f>
        <v/>
      </c>
      <c r="G23" s="477" t="b">
        <v>0</v>
      </c>
      <c r="H23" s="154" t="str">
        <f>IF(I23,"AF","")</f>
        <v/>
      </c>
      <c r="I23" s="477" t="b">
        <v>0</v>
      </c>
      <c r="K23" s="154" t="str">
        <f>IF(L23,"AF","")</f>
        <v/>
      </c>
      <c r="L23" s="477" t="b">
        <v>0</v>
      </c>
      <c r="N23" s="351"/>
      <c r="P23" s="351"/>
    </row>
    <row r="24" spans="2:16" x14ac:dyDescent="0.2">
      <c r="B24" s="154" t="str">
        <f>IF(C24,"LDH","")</f>
        <v/>
      </c>
      <c r="C24" s="477" t="b">
        <v>0</v>
      </c>
      <c r="D24" s="154" t="str">
        <f>IF(E24,"LDH","")</f>
        <v/>
      </c>
      <c r="E24" s="477" t="b">
        <v>0</v>
      </c>
      <c r="F24" s="154" t="str">
        <f>IF(G24,"LDH","")</f>
        <v/>
      </c>
      <c r="G24" s="477" t="b">
        <v>0</v>
      </c>
      <c r="H24" s="154" t="str">
        <f>IF(I24,"LDH","")</f>
        <v/>
      </c>
      <c r="I24" s="477" t="b">
        <v>0</v>
      </c>
      <c r="K24" s="154" t="str">
        <f>IF(L24,"LDH","")</f>
        <v/>
      </c>
      <c r="L24" s="477" t="b">
        <v>0</v>
      </c>
      <c r="N24" s="351"/>
      <c r="P24" s="351"/>
    </row>
    <row r="25" spans="2:16" x14ac:dyDescent="0.2">
      <c r="B25" s="154" t="str">
        <f>IF(C25,"Bili","")</f>
        <v/>
      </c>
      <c r="C25" s="477" t="b">
        <v>0</v>
      </c>
      <c r="D25" s="154" t="str">
        <f>IF(E25,"Bili","")</f>
        <v/>
      </c>
      <c r="E25" s="477" t="b">
        <v>0</v>
      </c>
      <c r="F25" s="154" t="str">
        <f>IF(G25,"Bili","")</f>
        <v/>
      </c>
      <c r="G25" s="477" t="b">
        <v>0</v>
      </c>
      <c r="H25" s="154" t="str">
        <f>IF(I25,"Bili","")</f>
        <v/>
      </c>
      <c r="I25" s="477" t="b">
        <v>0</v>
      </c>
      <c r="K25" s="154" t="str">
        <f>IF(L25,"Blil","")</f>
        <v/>
      </c>
      <c r="L25" s="477" t="b">
        <v>0</v>
      </c>
      <c r="N25" s="351"/>
      <c r="P25" s="351"/>
    </row>
    <row r="26" spans="2:16" x14ac:dyDescent="0.2">
      <c r="B26" s="154" t="str">
        <f>IF(C26,"CK","")</f>
        <v/>
      </c>
      <c r="C26" s="477" t="b">
        <v>0</v>
      </c>
      <c r="D26" s="154" t="str">
        <f>IF(E26,"CK","")</f>
        <v/>
      </c>
      <c r="E26" s="477" t="b">
        <v>0</v>
      </c>
      <c r="F26" s="154" t="str">
        <f>IF(G26,"CK","")</f>
        <v/>
      </c>
      <c r="G26" s="477" t="b">
        <v>0</v>
      </c>
      <c r="H26" s="154" t="str">
        <f>IF(I26,"CK","")</f>
        <v/>
      </c>
      <c r="I26" s="477" t="b">
        <v>0</v>
      </c>
      <c r="K26" s="154" t="str">
        <f>IF(L26,"CK","")</f>
        <v/>
      </c>
      <c r="L26" s="477" t="b">
        <v>0</v>
      </c>
      <c r="N26" s="351"/>
      <c r="P26" s="351"/>
    </row>
    <row r="27" spans="2:16" x14ac:dyDescent="0.2">
      <c r="B27" s="154" t="str">
        <f>IF(C27,"TG","")</f>
        <v/>
      </c>
      <c r="C27" s="477" t="b">
        <v>0</v>
      </c>
      <c r="D27" s="154" t="str">
        <f>IF(E27,"TG","")</f>
        <v/>
      </c>
      <c r="E27" s="477" t="b">
        <v>0</v>
      </c>
      <c r="F27" s="154" t="str">
        <f>IF(G27,"TG","")</f>
        <v/>
      </c>
      <c r="G27" s="477" t="b">
        <v>0</v>
      </c>
      <c r="H27" s="154" t="str">
        <f>IF(I27,"TG","")</f>
        <v/>
      </c>
      <c r="I27" s="477" t="b">
        <v>0</v>
      </c>
      <c r="K27" s="154" t="str">
        <f>IF(L27,"TG","")</f>
        <v/>
      </c>
      <c r="L27" s="477" t="b">
        <v>0</v>
      </c>
      <c r="N27" s="351"/>
      <c r="P27" s="351"/>
    </row>
    <row r="28" spans="2:16" x14ac:dyDescent="0.2">
      <c r="B28" s="154" t="str">
        <f>IF(C28,"BG","")</f>
        <v/>
      </c>
      <c r="C28" s="477" t="b">
        <v>0</v>
      </c>
      <c r="D28" s="154" t="str">
        <f>IF(E28,"BG","")</f>
        <v/>
      </c>
      <c r="E28" s="477" t="b">
        <v>0</v>
      </c>
      <c r="F28" s="154" t="str">
        <f>IF(G28,"BG","")</f>
        <v/>
      </c>
      <c r="G28" s="477" t="b">
        <v>0</v>
      </c>
      <c r="H28" s="154" t="str">
        <f>IF(I28,"BG","")</f>
        <v/>
      </c>
      <c r="I28" s="477" t="b">
        <v>0</v>
      </c>
      <c r="K28" s="154" t="str">
        <f>IF(L28,"BG","")</f>
        <v/>
      </c>
      <c r="L28" s="477" t="b">
        <v>0</v>
      </c>
      <c r="N28" s="351"/>
      <c r="P28" s="351"/>
    </row>
    <row r="29" spans="2:16" x14ac:dyDescent="0.2">
      <c r="B29" s="154" t="str">
        <f>IF(C29,"PT","")</f>
        <v/>
      </c>
      <c r="C29" s="477" t="b">
        <v>0</v>
      </c>
      <c r="D29" s="154" t="str">
        <f>IF(E29,"PT","")</f>
        <v/>
      </c>
      <c r="E29" s="477" t="b">
        <v>0</v>
      </c>
      <c r="F29" s="154" t="str">
        <f>IF(G29,"PT","")</f>
        <v/>
      </c>
      <c r="G29" s="477" t="b">
        <v>0</v>
      </c>
      <c r="H29" s="154" t="str">
        <f>IF(I29,"PT","")</f>
        <v/>
      </c>
      <c r="I29" s="477" t="b">
        <v>0</v>
      </c>
      <c r="K29" s="154" t="str">
        <f>IF(L29,"PT","")</f>
        <v/>
      </c>
      <c r="L29" s="477" t="b">
        <v>0</v>
      </c>
      <c r="N29" s="351"/>
      <c r="P29" s="351"/>
    </row>
    <row r="30" spans="2:16" x14ac:dyDescent="0.2">
      <c r="B30" s="154" t="str">
        <f>IF(C30,"APTT","")</f>
        <v/>
      </c>
      <c r="C30" s="477" t="b">
        <v>0</v>
      </c>
      <c r="D30" s="154" t="str">
        <f>IF(E30,"APTT","")</f>
        <v/>
      </c>
      <c r="E30" s="477" t="b">
        <v>0</v>
      </c>
      <c r="F30" s="154" t="str">
        <f>IF(G30,"APTT","")</f>
        <v/>
      </c>
      <c r="G30" s="477" t="b">
        <v>0</v>
      </c>
      <c r="H30" s="154" t="str">
        <f>IF(I30,"APTT","")</f>
        <v/>
      </c>
      <c r="I30" s="477" t="b">
        <v>0</v>
      </c>
      <c r="K30" s="154" t="str">
        <f>IF(L30,"APTT","")</f>
        <v/>
      </c>
      <c r="L30" s="477" t="b">
        <v>0</v>
      </c>
      <c r="N30" s="351"/>
      <c r="P30" s="351"/>
    </row>
    <row r="31" spans="2:16" x14ac:dyDescent="0.2">
      <c r="B31" s="154" t="str">
        <f>IF(C31,"d-dimeren","")</f>
        <v/>
      </c>
      <c r="C31" s="477" t="b">
        <v>0</v>
      </c>
      <c r="D31" s="154" t="str">
        <f>IF(E31,"d-dimeren","")</f>
        <v/>
      </c>
      <c r="E31" s="477" t="b">
        <v>0</v>
      </c>
      <c r="F31" s="154" t="str">
        <f>IF(G31,"d-dimeren","")</f>
        <v/>
      </c>
      <c r="G31" s="477" t="b">
        <v>0</v>
      </c>
      <c r="H31" s="154" t="str">
        <f>IF(I31,"d-dimeren","")</f>
        <v/>
      </c>
      <c r="I31" s="477" t="b">
        <v>0</v>
      </c>
      <c r="K31" s="154" t="str">
        <f>IF(L31,"d-dimeren","")</f>
        <v/>
      </c>
      <c r="L31" s="477" t="b">
        <v>0</v>
      </c>
      <c r="N31" s="351"/>
      <c r="P31" s="351"/>
    </row>
    <row r="32" spans="2:16" x14ac:dyDescent="0.2">
      <c r="B32" s="154" t="str">
        <f>IF(C32,"INR","")</f>
        <v/>
      </c>
      <c r="C32" s="477" t="b">
        <v>0</v>
      </c>
      <c r="D32" s="154" t="str">
        <f>IF(E32,"INR","")</f>
        <v/>
      </c>
      <c r="E32" s="477" t="b">
        <v>0</v>
      </c>
      <c r="F32" s="154" t="str">
        <f t="shared" ref="F32" si="0">IF(G32,"INR","")</f>
        <v/>
      </c>
      <c r="G32" s="477" t="b">
        <v>0</v>
      </c>
      <c r="H32" s="154" t="str">
        <f t="shared" ref="H32" si="1">IF(I32,"INR","")</f>
        <v/>
      </c>
      <c r="I32" s="477" t="b">
        <v>0</v>
      </c>
      <c r="K32" s="154" t="str">
        <f t="shared" ref="K32:K35" si="2">IF(L32,"INR","")</f>
        <v/>
      </c>
      <c r="L32" s="477" t="b">
        <v>0</v>
      </c>
      <c r="N32" s="351"/>
      <c r="P32" s="351"/>
    </row>
    <row r="33" spans="2:16" x14ac:dyDescent="0.2">
      <c r="B33" s="154" t="str">
        <f>IF(C33,"Hep-ratio","")</f>
        <v/>
      </c>
      <c r="C33" s="477" t="b">
        <v>0</v>
      </c>
      <c r="D33" s="154" t="str">
        <f>IF(E33,"Hep-ratio","")</f>
        <v/>
      </c>
      <c r="E33" s="477" t="b">
        <v>0</v>
      </c>
      <c r="F33" s="154" t="str">
        <f>IF(G33,"Hep-ratio","")</f>
        <v/>
      </c>
      <c r="G33" s="477" t="b">
        <v>0</v>
      </c>
      <c r="H33" s="154" t="str">
        <f>IF(I33,"Hep-ratio","")</f>
        <v/>
      </c>
      <c r="I33" s="477" t="b">
        <v>0</v>
      </c>
      <c r="K33" s="154" t="str">
        <f>IF(L33,"Hep-ratio","")</f>
        <v/>
      </c>
      <c r="L33" s="477" t="b">
        <v>0</v>
      </c>
      <c r="N33" s="351"/>
      <c r="P33" s="351"/>
    </row>
    <row r="34" spans="2:16" x14ac:dyDescent="0.2">
      <c r="B34" s="154" t="str">
        <f>IF(C34,"BNP","")</f>
        <v/>
      </c>
      <c r="C34" s="477" t="b">
        <v>0</v>
      </c>
      <c r="D34" s="154" t="str">
        <f>IF(E34,"BNP","")</f>
        <v/>
      </c>
      <c r="E34" s="477" t="b">
        <v>0</v>
      </c>
      <c r="F34" s="154" t="str">
        <f>IF(G34,"BNP","")</f>
        <v/>
      </c>
      <c r="G34" s="477" t="b">
        <v>0</v>
      </c>
      <c r="H34" s="154" t="str">
        <f>IF(I34,"BNP","")</f>
        <v/>
      </c>
      <c r="I34" s="477" t="b">
        <v>0</v>
      </c>
      <c r="K34" s="154" t="str">
        <f>IF(L34,"BNP","")</f>
        <v/>
      </c>
      <c r="L34" s="477" t="b">
        <v>0</v>
      </c>
      <c r="N34" s="351"/>
      <c r="P34" s="351"/>
    </row>
    <row r="35" spans="2:16" x14ac:dyDescent="0.2">
      <c r="B35" s="154" t="str">
        <f>IF(C35,"ACT","")</f>
        <v/>
      </c>
      <c r="C35" s="477" t="b">
        <v>0</v>
      </c>
      <c r="G35" s="478" t="b">
        <v>0</v>
      </c>
      <c r="K35" s="154" t="str">
        <f t="shared" si="2"/>
        <v/>
      </c>
    </row>
  </sheetData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5.42578125" style="714" customWidth="1"/>
    <col min="2" max="2" width="25" style="714" customWidth="1"/>
    <col min="3" max="3" width="16.28515625" style="714" customWidth="1"/>
    <col min="4" max="4" width="16.7109375" style="714" customWidth="1"/>
    <col min="5" max="5" width="15" style="714" bestFit="1" customWidth="1"/>
    <col min="6" max="6" width="21.85546875" style="714" bestFit="1" customWidth="1"/>
    <col min="7" max="7" width="21.5703125" style="714" customWidth="1"/>
    <col min="8" max="8" width="11.5703125" style="714" customWidth="1"/>
    <col min="9" max="9" width="27" style="714" customWidth="1"/>
    <col min="10" max="10" width="15.5703125" style="714" customWidth="1"/>
    <col min="11" max="11" width="13" style="714" customWidth="1"/>
    <col min="12" max="45" width="9.140625" style="714" customWidth="1"/>
    <col min="46" max="16384" width="9.140625" style="714"/>
  </cols>
  <sheetData>
    <row r="1" spans="1:17" s="711" customFormat="1" ht="17.25" customHeight="1" x14ac:dyDescent="0.2">
      <c r="A1" s="710"/>
      <c r="B1" s="802"/>
      <c r="C1" s="802"/>
      <c r="D1" s="802"/>
      <c r="E1" s="802"/>
      <c r="F1" s="802"/>
      <c r="G1" s="802"/>
      <c r="H1" s="802"/>
      <c r="I1" s="802"/>
    </row>
    <row r="2" spans="1:17" s="711" customFormat="1" ht="17.25" customHeight="1" x14ac:dyDescent="0.2">
      <c r="B2" s="803" t="s">
        <v>297</v>
      </c>
      <c r="C2" s="804">
        <f ca="1">Var_AfspraakDatum</f>
        <v>42751</v>
      </c>
      <c r="D2" s="803" t="s">
        <v>298</v>
      </c>
      <c r="E2" s="805" t="str">
        <f>PatDetails!B15</f>
        <v/>
      </c>
      <c r="F2" s="803" t="str">
        <f>PatDetails!B23</f>
        <v>Gewicht:</v>
      </c>
      <c r="G2" s="803"/>
      <c r="H2" s="803" t="s">
        <v>490</v>
      </c>
      <c r="I2" s="806">
        <f>__1_Bed</f>
        <v>0</v>
      </c>
    </row>
    <row r="3" spans="1:17" s="711" customFormat="1" ht="17.25" customHeight="1" x14ac:dyDescent="0.2">
      <c r="B3" s="803" t="s">
        <v>28</v>
      </c>
      <c r="C3" s="807" t="str">
        <f>PatDetails!B21</f>
        <v/>
      </c>
      <c r="D3" s="803" t="s">
        <v>305</v>
      </c>
      <c r="E3" s="805" t="str">
        <f ca="1">PatDetails!B16</f>
        <v/>
      </c>
      <c r="F3" s="803" t="str">
        <f>PatDetails!B24</f>
        <v>Lengte:</v>
      </c>
      <c r="G3" s="803"/>
      <c r="H3" s="803"/>
      <c r="I3" s="802"/>
    </row>
    <row r="4" spans="1:17" s="711" customFormat="1" ht="17.25" customHeight="1" x14ac:dyDescent="0.2">
      <c r="A4" s="712"/>
      <c r="B4" s="803" t="s">
        <v>4314</v>
      </c>
      <c r="C4" s="803" t="str">
        <f>PatDetails!B17</f>
        <v/>
      </c>
      <c r="D4" s="803" t="s">
        <v>268</v>
      </c>
      <c r="E4" s="808" t="str">
        <f ca="1">PatDetails!B20</f>
        <v/>
      </c>
      <c r="F4" s="803" t="str">
        <f>PatDetails!B25</f>
        <v>Lichamelijk oppervlak:</v>
      </c>
      <c r="G4" s="803"/>
      <c r="H4" s="803"/>
      <c r="I4" s="802"/>
    </row>
    <row r="6" spans="1:17" x14ac:dyDescent="0.2">
      <c r="A6" s="713"/>
      <c r="B6" s="822" t="s">
        <v>694</v>
      </c>
      <c r="C6" s="822"/>
      <c r="D6" s="822"/>
      <c r="E6" s="822"/>
      <c r="F6" s="822" t="s">
        <v>701</v>
      </c>
      <c r="G6" s="822"/>
      <c r="H6" s="822"/>
      <c r="I6" s="822"/>
      <c r="Q6" s="711"/>
    </row>
    <row r="7" spans="1:17" ht="18" customHeight="1" x14ac:dyDescent="0.2">
      <c r="Q7" s="711"/>
    </row>
    <row r="8" spans="1:17" ht="18" customHeight="1" thickBot="1" x14ac:dyDescent="0.25">
      <c r="C8" s="772" t="str">
        <f>IF(PedBerAfspr!C7=0,"",PedBerAfspr!C7)</f>
        <v/>
      </c>
      <c r="Q8" s="711"/>
    </row>
    <row r="9" spans="1:17" ht="18" customHeight="1" thickTop="1" thickBot="1" x14ac:dyDescent="0.25">
      <c r="C9" s="773" t="str">
        <f>IF(PedBerAfspr!C8=0,"",PedBerAfspr!C8)</f>
        <v/>
      </c>
      <c r="G9" s="776" t="str">
        <f>CONCATENATE("à ",PedBerAfspr!G16," uur")</f>
        <v>à 0 uur</v>
      </c>
      <c r="H9" s="715"/>
    </row>
    <row r="10" spans="1:17" ht="18" customHeight="1" thickTop="1" thickBot="1" x14ac:dyDescent="0.25">
      <c r="C10" s="773" t="str">
        <f>IF(PedBerAfspr!C9=0,"",PedBerAfspr!C9)</f>
        <v/>
      </c>
      <c r="G10" s="777" t="str">
        <f>CONCATENATE("à ",PedBerAfspr!G18," uur")</f>
        <v>à 0 uur</v>
      </c>
      <c r="H10" s="787" t="s">
        <v>924</v>
      </c>
      <c r="I10" s="771" t="str">
        <f>IF(_Ped_AfsprD_Verliezen=0,"",_Ped_AfsprD_Verliezen)</f>
        <v/>
      </c>
      <c r="J10" s="716"/>
      <c r="K10" s="716"/>
    </row>
    <row r="11" spans="1:17" ht="18" customHeight="1" thickTop="1" thickBot="1" x14ac:dyDescent="0.25">
      <c r="C11" s="774" t="str">
        <f>CONCATENATE(PedBerAfspr!$B$12," dd")</f>
        <v>0 dd</v>
      </c>
      <c r="F11" s="717"/>
      <c r="I11" s="716"/>
      <c r="J11" s="716"/>
      <c r="K11" s="716"/>
    </row>
    <row r="12" spans="1:17" ht="18" customHeight="1" thickTop="1" x14ac:dyDescent="0.2">
      <c r="F12" s="717"/>
      <c r="I12" s="716"/>
      <c r="J12" s="716"/>
      <c r="K12" s="716"/>
    </row>
    <row r="13" spans="1:17" ht="18" customHeight="1" x14ac:dyDescent="0.2">
      <c r="F13" s="717"/>
      <c r="I13" s="718"/>
      <c r="M13" s="711"/>
    </row>
    <row r="14" spans="1:17" ht="18" customHeight="1" x14ac:dyDescent="0.2">
      <c r="F14" s="717"/>
      <c r="M14" s="711"/>
    </row>
    <row r="15" spans="1:17" ht="18" customHeight="1" x14ac:dyDescent="0.2">
      <c r="F15" s="717"/>
    </row>
    <row r="16" spans="1:17" ht="18" customHeight="1" x14ac:dyDescent="0.2">
      <c r="F16" s="717"/>
      <c r="M16" s="711"/>
    </row>
    <row r="17" spans="1:14" ht="18" customHeight="1" x14ac:dyDescent="0.2">
      <c r="F17" s="788" t="s">
        <v>841</v>
      </c>
      <c r="G17" s="789"/>
      <c r="H17" s="789"/>
      <c r="I17" s="789"/>
      <c r="M17" s="711"/>
    </row>
    <row r="18" spans="1:14" ht="18" customHeight="1" thickBot="1" x14ac:dyDescent="0.25">
      <c r="C18" s="775" t="str">
        <f>CONCATENATE(PedBerAfspr!$C$42," dd")</f>
        <v>0 dd</v>
      </c>
      <c r="F18" s="880" t="str">
        <f>IF(_Ped_AfsprOverig=0,"",_Ped_AfsprOverig)</f>
        <v/>
      </c>
      <c r="G18" s="881"/>
      <c r="H18" s="881"/>
      <c r="I18" s="881"/>
      <c r="K18" s="711"/>
      <c r="M18" s="711"/>
      <c r="N18" s="711"/>
    </row>
    <row r="19" spans="1:14" ht="18" customHeight="1" thickTop="1" thickBot="1" x14ac:dyDescent="0.25">
      <c r="C19" s="774" t="str">
        <f>CONCATENATE(PedBerAfspr!$C$43," dd")</f>
        <v>3 dd</v>
      </c>
      <c r="F19" s="881"/>
      <c r="G19" s="881"/>
      <c r="H19" s="881"/>
      <c r="I19" s="881"/>
      <c r="N19" s="711"/>
    </row>
    <row r="20" spans="1:14" ht="18" customHeight="1" thickTop="1" x14ac:dyDescent="0.2">
      <c r="F20" s="881"/>
      <c r="G20" s="881"/>
      <c r="H20" s="881"/>
      <c r="I20" s="881"/>
      <c r="K20" s="711"/>
      <c r="M20" s="711"/>
      <c r="N20" s="711"/>
    </row>
    <row r="21" spans="1:14" ht="18" customHeight="1" x14ac:dyDescent="0.2">
      <c r="F21" s="717"/>
      <c r="G21" s="719"/>
      <c r="H21" s="720"/>
      <c r="M21" s="711"/>
      <c r="N21" s="711"/>
    </row>
    <row r="22" spans="1:14" ht="18" customHeight="1" x14ac:dyDescent="0.2">
      <c r="B22" s="822" t="s">
        <v>700</v>
      </c>
      <c r="C22" s="822"/>
      <c r="D22" s="822"/>
      <c r="E22" s="822"/>
      <c r="F22" s="823"/>
      <c r="G22" s="824"/>
      <c r="H22" s="825"/>
      <c r="I22" s="822"/>
      <c r="M22" s="711"/>
    </row>
    <row r="23" spans="1:14" ht="18" customHeight="1" x14ac:dyDescent="0.2">
      <c r="F23" s="717"/>
      <c r="G23" s="719"/>
      <c r="H23" s="720"/>
      <c r="M23" s="711"/>
    </row>
    <row r="24" spans="1:14" ht="18" customHeight="1" x14ac:dyDescent="0.2">
      <c r="F24" s="717"/>
    </row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822" t="s">
        <v>900</v>
      </c>
      <c r="C28" s="822"/>
      <c r="D28" s="822"/>
      <c r="E28" s="822"/>
      <c r="F28" s="822"/>
      <c r="G28" s="822"/>
      <c r="H28" s="822"/>
      <c r="I28" s="822"/>
    </row>
    <row r="29" spans="1:14" ht="18" customHeight="1" x14ac:dyDescent="0.2">
      <c r="A29" s="715"/>
    </row>
    <row r="30" spans="1:14" ht="18" customHeight="1" x14ac:dyDescent="0.2">
      <c r="A30" s="715"/>
      <c r="E30" s="717"/>
    </row>
    <row r="31" spans="1:14" ht="18" customHeight="1" x14ac:dyDescent="0.2">
      <c r="A31" s="715"/>
      <c r="E31" s="717"/>
      <c r="M31" s="711"/>
    </row>
    <row r="32" spans="1:14" ht="18" customHeight="1" x14ac:dyDescent="0.2">
      <c r="A32" s="715"/>
      <c r="B32" s="721"/>
      <c r="C32" s="721"/>
      <c r="D32" s="715"/>
      <c r="E32" s="715"/>
      <c r="M32" s="711"/>
    </row>
    <row r="33" spans="2:13" ht="18" customHeight="1" x14ac:dyDescent="0.2">
      <c r="B33" s="721"/>
      <c r="C33" s="721"/>
      <c r="D33" s="715"/>
      <c r="E33" s="715"/>
      <c r="M33" s="711"/>
    </row>
    <row r="34" spans="2:13" ht="18" customHeight="1" x14ac:dyDescent="0.2">
      <c r="B34" s="721"/>
      <c r="C34" s="721"/>
      <c r="D34" s="715"/>
      <c r="E34" s="715"/>
      <c r="M34" s="711"/>
    </row>
    <row r="35" spans="2:13" ht="18" customHeight="1" x14ac:dyDescent="0.2">
      <c r="B35" s="721"/>
      <c r="C35" s="721"/>
      <c r="D35" s="743">
        <f>PedBerAfspr!D40</f>
        <v>0</v>
      </c>
      <c r="E35" s="721" t="s">
        <v>902</v>
      </c>
      <c r="F35" s="711"/>
      <c r="M35" s="711"/>
    </row>
    <row r="36" spans="2:13" ht="18" customHeight="1" x14ac:dyDescent="0.2">
      <c r="E36" s="717"/>
      <c r="M36" s="711"/>
    </row>
    <row r="37" spans="2:13" ht="18" customHeight="1" x14ac:dyDescent="0.2">
      <c r="B37" s="826" t="s">
        <v>666</v>
      </c>
      <c r="C37" s="826"/>
      <c r="D37" s="826"/>
      <c r="E37" s="826"/>
      <c r="F37" s="826"/>
      <c r="G37" s="826"/>
      <c r="H37" s="826"/>
      <c r="I37" s="826"/>
      <c r="M37" s="711"/>
    </row>
    <row r="38" spans="2:13" ht="18" customHeight="1" x14ac:dyDescent="0.2">
      <c r="B38" s="826" t="s">
        <v>694</v>
      </c>
      <c r="C38" s="826" t="str">
        <f>IFERROR(LEFT(Var_Ped_AfsprControles,LEN(Var_Ped_AfsprControles)-3),"")</f>
        <v/>
      </c>
      <c r="D38" s="826"/>
      <c r="E38" s="826"/>
      <c r="F38" s="826"/>
      <c r="G38" s="826"/>
      <c r="H38" s="826"/>
      <c r="I38" s="826"/>
      <c r="M38" s="711"/>
    </row>
    <row r="39" spans="2:13" ht="18" customHeight="1" x14ac:dyDescent="0.2">
      <c r="B39" s="826" t="s">
        <v>700</v>
      </c>
      <c r="C39" s="826" t="str">
        <f>IFERROR(LEFT(Var_Ped_AfsprOnderzoeken,LEN(Var_Ped_AfsprOnderzoeken)-3),"")</f>
        <v/>
      </c>
      <c r="D39" s="826"/>
      <c r="E39" s="826"/>
      <c r="F39" s="826"/>
      <c r="G39" s="826"/>
      <c r="H39" s="826"/>
      <c r="I39" s="826"/>
    </row>
    <row r="40" spans="2:13" ht="18" customHeight="1" x14ac:dyDescent="0.2">
      <c r="B40" s="826" t="s">
        <v>900</v>
      </c>
      <c r="C40" s="826" t="str">
        <f>IFERROR(LEFT(Var_Ped_AfsprInstellingen,LEN(Var_Ped_AfsprInstellingen)-3),"")</f>
        <v/>
      </c>
      <c r="D40" s="826"/>
      <c r="E40" s="826"/>
      <c r="F40" s="826"/>
      <c r="G40" s="826"/>
      <c r="H40" s="826"/>
      <c r="I40" s="826"/>
      <c r="M40" s="711"/>
    </row>
    <row r="41" spans="2:13" ht="18" customHeight="1" x14ac:dyDescent="0.2">
      <c r="B41" s="826" t="s">
        <v>679</v>
      </c>
      <c r="C41" s="826" t="str">
        <f>IFERROR(LEFT(Var_Ped_AfsprOverig,LEN(Var_Ped_AfsprOverig)-3),"")</f>
        <v/>
      </c>
      <c r="D41" s="826"/>
      <c r="E41" s="826"/>
      <c r="F41" s="826"/>
      <c r="G41" s="826"/>
      <c r="H41" s="826"/>
      <c r="I41" s="826"/>
      <c r="M41" s="711"/>
    </row>
    <row r="42" spans="2:13" ht="18" customHeight="1" x14ac:dyDescent="0.2">
      <c r="M42" s="711"/>
    </row>
    <row r="43" spans="2:13" ht="18" customHeight="1" x14ac:dyDescent="0.2">
      <c r="M43" s="711"/>
    </row>
    <row r="44" spans="2:13" ht="18" customHeight="1" x14ac:dyDescent="0.2">
      <c r="M44" s="711"/>
    </row>
    <row r="45" spans="2:13" ht="18" customHeight="1" x14ac:dyDescent="0.2"/>
    <row r="46" spans="2:13" ht="18" customHeight="1" x14ac:dyDescent="0.2"/>
    <row r="47" spans="2:13" ht="18" customHeight="1" x14ac:dyDescent="0.2">
      <c r="M47" s="722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/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44" bestFit="1" customWidth="1"/>
    <col min="2" max="2" width="9.140625" style="344"/>
    <col min="3" max="3" width="14" style="344" customWidth="1"/>
    <col min="4" max="4" width="9.140625" style="345"/>
    <col min="5" max="5" width="28" style="350" bestFit="1" customWidth="1"/>
    <col min="6" max="6" width="9.140625" style="344"/>
    <col min="7" max="7" width="13.5703125" style="344" customWidth="1"/>
    <col min="8" max="16384" width="9.140625" style="344"/>
  </cols>
  <sheetData>
    <row r="1" spans="1:8" x14ac:dyDescent="0.2">
      <c r="A1" s="354"/>
    </row>
    <row r="6" spans="1:8" x14ac:dyDescent="0.2">
      <c r="A6" s="368" t="s">
        <v>694</v>
      </c>
      <c r="E6" s="346" t="s">
        <v>679</v>
      </c>
    </row>
    <row r="7" spans="1:8" x14ac:dyDescent="0.2">
      <c r="A7" s="347" t="s">
        <v>267</v>
      </c>
      <c r="B7" s="354" t="b">
        <v>0</v>
      </c>
      <c r="C7" s="354">
        <v>0</v>
      </c>
      <c r="D7" s="355">
        <v>0</v>
      </c>
      <c r="E7" s="348" t="s">
        <v>665</v>
      </c>
      <c r="F7" s="354" t="b">
        <v>0</v>
      </c>
    </row>
    <row r="8" spans="1:8" x14ac:dyDescent="0.2">
      <c r="A8" s="347" t="s">
        <v>128</v>
      </c>
      <c r="B8" s="354" t="b">
        <v>0</v>
      </c>
      <c r="C8" s="354">
        <v>0</v>
      </c>
      <c r="D8" s="355">
        <v>0</v>
      </c>
      <c r="E8" s="348" t="s">
        <v>675</v>
      </c>
      <c r="F8" s="354" t="b">
        <v>0</v>
      </c>
    </row>
    <row r="9" spans="1:8" x14ac:dyDescent="0.2">
      <c r="A9" s="344" t="s">
        <v>838</v>
      </c>
      <c r="B9" s="354" t="b">
        <v>0</v>
      </c>
      <c r="C9" s="354">
        <v>0</v>
      </c>
      <c r="D9" s="355">
        <v>1</v>
      </c>
      <c r="E9" s="348" t="s">
        <v>909</v>
      </c>
      <c r="F9" s="354" t="b">
        <v>0</v>
      </c>
    </row>
    <row r="10" spans="1:8" x14ac:dyDescent="0.2">
      <c r="A10" s="344" t="s">
        <v>888</v>
      </c>
      <c r="B10" s="354" t="b">
        <v>0</v>
      </c>
      <c r="C10" s="354"/>
      <c r="D10" s="355"/>
      <c r="E10" s="348" t="s">
        <v>910</v>
      </c>
      <c r="F10" s="354" t="b">
        <v>0</v>
      </c>
    </row>
    <row r="11" spans="1:8" x14ac:dyDescent="0.2">
      <c r="A11" s="347" t="s">
        <v>728</v>
      </c>
      <c r="B11" s="354" t="b">
        <v>0</v>
      </c>
      <c r="C11" s="347" t="s">
        <v>696</v>
      </c>
      <c r="D11" s="355" t="b">
        <v>0</v>
      </c>
      <c r="E11" s="348" t="s">
        <v>911</v>
      </c>
      <c r="F11" s="354" t="b">
        <v>0</v>
      </c>
    </row>
    <row r="12" spans="1:8" x14ac:dyDescent="0.2">
      <c r="A12" s="347" t="s">
        <v>730</v>
      </c>
      <c r="B12" s="378">
        <v>0</v>
      </c>
      <c r="C12" s="349" t="s">
        <v>697</v>
      </c>
      <c r="D12" s="355" t="b">
        <v>0</v>
      </c>
      <c r="E12" s="348" t="s">
        <v>673</v>
      </c>
      <c r="F12" s="354" t="b">
        <v>0</v>
      </c>
    </row>
    <row r="13" spans="1:8" x14ac:dyDescent="0.2">
      <c r="B13" s="354"/>
      <c r="C13" s="347" t="s">
        <v>698</v>
      </c>
      <c r="D13" s="355" t="b">
        <v>0</v>
      </c>
      <c r="E13" s="350" t="s">
        <v>912</v>
      </c>
      <c r="F13" s="354" t="b">
        <v>0</v>
      </c>
    </row>
    <row r="14" spans="1:8" x14ac:dyDescent="0.2">
      <c r="B14" s="354"/>
      <c r="C14" s="347" t="s">
        <v>699</v>
      </c>
      <c r="D14" s="355" t="b">
        <v>0</v>
      </c>
      <c r="E14" s="350" t="s">
        <v>913</v>
      </c>
      <c r="F14" s="354" t="b">
        <v>0</v>
      </c>
    </row>
    <row r="15" spans="1:8" x14ac:dyDescent="0.2">
      <c r="A15" s="347" t="s">
        <v>729</v>
      </c>
      <c r="B15" s="354" t="b">
        <v>0</v>
      </c>
      <c r="D15" s="355"/>
      <c r="E15" s="350" t="s">
        <v>914</v>
      </c>
      <c r="F15" s="354" t="b">
        <v>0</v>
      </c>
    </row>
    <row r="16" spans="1:8" x14ac:dyDescent="0.2">
      <c r="A16" s="344" t="s">
        <v>621</v>
      </c>
      <c r="B16" s="354" t="b">
        <v>0</v>
      </c>
      <c r="D16" s="355"/>
      <c r="E16" s="348" t="s">
        <v>923</v>
      </c>
      <c r="F16" s="354" t="b">
        <v>0</v>
      </c>
      <c r="G16" s="354">
        <v>0</v>
      </c>
      <c r="H16" s="347"/>
    </row>
    <row r="17" spans="1:8" x14ac:dyDescent="0.2">
      <c r="A17" s="347" t="s">
        <v>620</v>
      </c>
      <c r="B17" s="354" t="b">
        <v>0</v>
      </c>
      <c r="D17" s="355"/>
      <c r="E17" s="348" t="s">
        <v>679</v>
      </c>
      <c r="F17" s="354"/>
    </row>
    <row r="18" spans="1:8" x14ac:dyDescent="0.2">
      <c r="E18" s="348" t="s">
        <v>834</v>
      </c>
      <c r="F18" s="354" t="b">
        <v>0</v>
      </c>
      <c r="G18" s="354">
        <v>0</v>
      </c>
      <c r="H18" s="354"/>
    </row>
    <row r="19" spans="1:8" x14ac:dyDescent="0.2">
      <c r="A19" s="343" t="s">
        <v>700</v>
      </c>
      <c r="B19" s="354"/>
      <c r="E19" s="348"/>
    </row>
    <row r="20" spans="1:8" x14ac:dyDescent="0.2">
      <c r="A20" s="347" t="s">
        <v>886</v>
      </c>
      <c r="B20" s="354" t="b">
        <v>0</v>
      </c>
      <c r="D20" s="355"/>
      <c r="E20" s="348"/>
    </row>
    <row r="21" spans="1:8" x14ac:dyDescent="0.2">
      <c r="A21" s="347" t="s">
        <v>33</v>
      </c>
      <c r="B21" s="354" t="b">
        <v>0</v>
      </c>
      <c r="D21" s="355"/>
    </row>
    <row r="22" spans="1:8" x14ac:dyDescent="0.2">
      <c r="A22" s="347" t="s">
        <v>731</v>
      </c>
      <c r="B22" s="354" t="b">
        <v>0</v>
      </c>
      <c r="D22" s="355"/>
    </row>
    <row r="23" spans="1:8" x14ac:dyDescent="0.2">
      <c r="A23" s="347" t="s">
        <v>732</v>
      </c>
      <c r="B23" s="354" t="b">
        <v>0</v>
      </c>
      <c r="D23" s="355"/>
    </row>
    <row r="24" spans="1:8" x14ac:dyDescent="0.2">
      <c r="A24" s="344" t="s">
        <v>915</v>
      </c>
      <c r="B24" s="354" t="b">
        <v>0</v>
      </c>
      <c r="D24" s="355"/>
    </row>
    <row r="25" spans="1:8" x14ac:dyDescent="0.2">
      <c r="A25" s="344" t="s">
        <v>916</v>
      </c>
      <c r="B25" s="354" t="b">
        <v>0</v>
      </c>
      <c r="D25" s="355"/>
    </row>
    <row r="26" spans="1:8" x14ac:dyDescent="0.2">
      <c r="A26" s="343" t="s">
        <v>900</v>
      </c>
      <c r="B26" s="354"/>
      <c r="D26" s="355"/>
    </row>
    <row r="27" spans="1:8" x14ac:dyDescent="0.2">
      <c r="A27" s="347" t="s">
        <v>733</v>
      </c>
      <c r="B27" s="354" t="b">
        <v>0</v>
      </c>
      <c r="C27" s="344" t="str">
        <f t="shared" ref="C27:C35" si="0">IF(OR(D27=0,D27=1,D27=""),"",INDEX(tbl_Ped_DrainLokatie,D27,0))</f>
        <v/>
      </c>
      <c r="D27" s="354">
        <v>1</v>
      </c>
    </row>
    <row r="28" spans="1:8" x14ac:dyDescent="0.2">
      <c r="B28" s="354"/>
      <c r="C28" s="344" t="str">
        <f>IF(OR(D28=0,D28=1,D28=""),"",INDEX(tbl_Ped_DrainModus,D28,0))</f>
        <v/>
      </c>
      <c r="D28" s="354">
        <v>1</v>
      </c>
    </row>
    <row r="29" spans="1:8" x14ac:dyDescent="0.2">
      <c r="B29" s="354"/>
      <c r="C29" s="344" t="str">
        <f>IF(OR(D29=0,D29=1,D29=""),"",INDEX(tbl_Ped_DrainZuig,D29,0))</f>
        <v/>
      </c>
      <c r="D29" s="354">
        <v>1</v>
      </c>
    </row>
    <row r="30" spans="1:8" x14ac:dyDescent="0.2">
      <c r="A30" s="347" t="s">
        <v>831</v>
      </c>
      <c r="B30" s="354" t="b">
        <v>0</v>
      </c>
      <c r="C30" s="344" t="str">
        <f t="shared" si="0"/>
        <v/>
      </c>
      <c r="D30" s="354">
        <v>1</v>
      </c>
    </row>
    <row r="31" spans="1:8" x14ac:dyDescent="0.2">
      <c r="B31" s="354"/>
      <c r="C31" s="344" t="str">
        <f>IF(OR(D31=0,D31=1,D31=""),"",INDEX(tbl_Ped_DrainModus,D31,0))</f>
        <v/>
      </c>
      <c r="D31" s="354">
        <v>1</v>
      </c>
    </row>
    <row r="32" spans="1:8" x14ac:dyDescent="0.2">
      <c r="B32" s="354"/>
      <c r="C32" s="344" t="str">
        <f>IF(OR(D32=0,D32=1,D32=""),"",INDEX(tbl_Ped_DrainZuig,D32,0))</f>
        <v/>
      </c>
      <c r="D32" s="354">
        <v>1</v>
      </c>
    </row>
    <row r="33" spans="1:5" x14ac:dyDescent="0.2">
      <c r="A33" s="347" t="s">
        <v>903</v>
      </c>
      <c r="B33" s="354" t="b">
        <v>0</v>
      </c>
      <c r="C33" s="344" t="str">
        <f t="shared" si="0"/>
        <v/>
      </c>
      <c r="D33" s="354">
        <v>1</v>
      </c>
    </row>
    <row r="34" spans="1:5" x14ac:dyDescent="0.2">
      <c r="B34" s="354"/>
      <c r="C34" s="344" t="str">
        <f t="shared" si="0"/>
        <v/>
      </c>
      <c r="D34" s="354">
        <v>1</v>
      </c>
    </row>
    <row r="35" spans="1:5" x14ac:dyDescent="0.2">
      <c r="B35" s="354"/>
      <c r="C35" s="344" t="str">
        <f t="shared" si="0"/>
        <v/>
      </c>
      <c r="D35" s="354">
        <v>1</v>
      </c>
    </row>
    <row r="36" spans="1:5" x14ac:dyDescent="0.2">
      <c r="A36" s="341" t="s">
        <v>677</v>
      </c>
      <c r="B36" s="352" t="b">
        <v>0</v>
      </c>
      <c r="C36" s="312" t="s">
        <v>904</v>
      </c>
      <c r="D36" s="353" t="b">
        <v>0</v>
      </c>
      <c r="E36" s="350" t="str">
        <f>IF(B36,CONCATENATE(A36,IF(D36,CONCATENATE(" (",C36,")"),"")," - "),"")</f>
        <v/>
      </c>
    </row>
    <row r="37" spans="1:5" x14ac:dyDescent="0.2">
      <c r="A37" s="312" t="s">
        <v>840</v>
      </c>
      <c r="B37" s="352" t="b">
        <v>0</v>
      </c>
      <c r="C37" s="312" t="s">
        <v>904</v>
      </c>
      <c r="D37" s="352" t="b">
        <v>0</v>
      </c>
      <c r="E37" s="350" t="str">
        <f t="shared" ref="E37:E38" si="1">IF(B37,CONCATENATE(A37,IF(D37,CONCATENATE(" (",C37,")"),"")," - "),"")</f>
        <v/>
      </c>
    </row>
    <row r="38" spans="1:5" x14ac:dyDescent="0.2">
      <c r="A38" s="341" t="s">
        <v>676</v>
      </c>
      <c r="B38" s="352" t="b">
        <v>0</v>
      </c>
      <c r="C38" s="312" t="s">
        <v>904</v>
      </c>
      <c r="D38" s="352" t="b">
        <v>0</v>
      </c>
      <c r="E38" s="350" t="str">
        <f t="shared" si="1"/>
        <v/>
      </c>
    </row>
    <row r="39" spans="1:5" x14ac:dyDescent="0.2">
      <c r="A39" s="312" t="s">
        <v>901</v>
      </c>
      <c r="B39" s="352" t="b">
        <v>0</v>
      </c>
      <c r="C39" s="311" t="str">
        <f>IF(OR(D39=0,D39=1,D39=""),"",INDEX(tbl_Ped_LiquorDrain,D39,0))</f>
        <v/>
      </c>
      <c r="D39" s="353">
        <v>0</v>
      </c>
    </row>
    <row r="40" spans="1:5" x14ac:dyDescent="0.2">
      <c r="A40" s="311"/>
      <c r="B40" s="352"/>
      <c r="C40" s="311" t="s">
        <v>902</v>
      </c>
      <c r="D40" s="353">
        <v>0</v>
      </c>
    </row>
    <row r="42" spans="1:5" x14ac:dyDescent="0.2">
      <c r="A42" s="344" t="s">
        <v>925</v>
      </c>
      <c r="B42" s="354" t="b">
        <v>0</v>
      </c>
      <c r="C42" s="354">
        <v>0</v>
      </c>
    </row>
    <row r="43" spans="1:5" x14ac:dyDescent="0.2">
      <c r="A43" s="344" t="s">
        <v>926</v>
      </c>
      <c r="B43" s="354" t="b">
        <v>0</v>
      </c>
      <c r="C43" s="354">
        <v>3</v>
      </c>
    </row>
    <row r="44" spans="1:5" x14ac:dyDescent="0.2">
      <c r="A44" s="344" t="s">
        <v>927</v>
      </c>
      <c r="B44" s="354" t="b">
        <v>0</v>
      </c>
    </row>
    <row r="46" spans="1:5" x14ac:dyDescent="0.2">
      <c r="A46" s="343" t="s">
        <v>666</v>
      </c>
    </row>
    <row r="47" spans="1:5" x14ac:dyDescent="0.2">
      <c r="A47" s="347" t="s">
        <v>694</v>
      </c>
      <c r="B47" s="344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47" t="s">
        <v>700</v>
      </c>
      <c r="B48" s="344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44" t="s">
        <v>900</v>
      </c>
      <c r="B49" s="344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47" t="s">
        <v>679</v>
      </c>
      <c r="B50" s="344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47"/>
    </row>
    <row r="58" spans="1:2" x14ac:dyDescent="0.2">
      <c r="A58" s="347"/>
    </row>
    <row r="60" spans="1:2" x14ac:dyDescent="0.2">
      <c r="A60" s="347"/>
    </row>
    <row r="61" spans="1:2" x14ac:dyDescent="0.2">
      <c r="A61" s="347"/>
    </row>
    <row r="62" spans="1:2" x14ac:dyDescent="0.2">
      <c r="A62" s="347"/>
    </row>
    <row r="63" spans="1:2" x14ac:dyDescent="0.2">
      <c r="A63" s="347"/>
    </row>
    <row r="64" spans="1:2" x14ac:dyDescent="0.2">
      <c r="A64" s="347"/>
    </row>
    <row r="65" spans="1:1" x14ac:dyDescent="0.2">
      <c r="A65" s="347"/>
    </row>
    <row r="66" spans="1:1" x14ac:dyDescent="0.2">
      <c r="A66" s="347"/>
    </row>
    <row r="67" spans="1:1" x14ac:dyDescent="0.2">
      <c r="A67" s="347"/>
    </row>
    <row r="68" spans="1:1" x14ac:dyDescent="0.2">
      <c r="A68" s="347"/>
    </row>
    <row r="69" spans="1:1" x14ac:dyDescent="0.2">
      <c r="A69" s="347"/>
    </row>
    <row r="70" spans="1:1" x14ac:dyDescent="0.2">
      <c r="A70" s="347"/>
    </row>
    <row r="71" spans="1:1" x14ac:dyDescent="0.2">
      <c r="A71" s="347"/>
    </row>
    <row r="73" spans="1:1" x14ac:dyDescent="0.2">
      <c r="A73" s="347"/>
    </row>
    <row r="74" spans="1:1" x14ac:dyDescent="0.2">
      <c r="A74" s="347"/>
    </row>
    <row r="75" spans="1:1" x14ac:dyDescent="0.2">
      <c r="A75" s="347"/>
    </row>
    <row r="76" spans="1:1" x14ac:dyDescent="0.2">
      <c r="A76" s="347"/>
    </row>
    <row r="77" spans="1:1" x14ac:dyDescent="0.2">
      <c r="A77" s="347"/>
    </row>
    <row r="78" spans="1:1" x14ac:dyDescent="0.2">
      <c r="A78" s="347"/>
    </row>
    <row r="79" spans="1:1" x14ac:dyDescent="0.2">
      <c r="A79" s="347"/>
    </row>
    <row r="80" spans="1:1" x14ac:dyDescent="0.2">
      <c r="A80" s="347"/>
    </row>
    <row r="81" spans="1:1" x14ac:dyDescent="0.2">
      <c r="A81" s="347"/>
    </row>
    <row r="82" spans="1:1" x14ac:dyDescent="0.2">
      <c r="A82" s="347"/>
    </row>
    <row r="83" spans="1:1" x14ac:dyDescent="0.2">
      <c r="A83" s="347"/>
    </row>
    <row r="84" spans="1:1" x14ac:dyDescent="0.2">
      <c r="A84" s="347"/>
    </row>
    <row r="85" spans="1:1" x14ac:dyDescent="0.2">
      <c r="A85" s="347"/>
    </row>
    <row r="86" spans="1:1" x14ac:dyDescent="0.2">
      <c r="A86" s="347"/>
    </row>
    <row r="87" spans="1:1" x14ac:dyDescent="0.2">
      <c r="A87" s="347"/>
    </row>
    <row r="88" spans="1:1" x14ac:dyDescent="0.2">
      <c r="A88" s="347"/>
    </row>
    <row r="89" spans="1:1" x14ac:dyDescent="0.2">
      <c r="A89" s="347"/>
    </row>
    <row r="90" spans="1:1" x14ac:dyDescent="0.2">
      <c r="A90" s="347"/>
    </row>
    <row r="91" spans="1:1" x14ac:dyDescent="0.2">
      <c r="A91" s="347"/>
    </row>
    <row r="92" spans="1:1" x14ac:dyDescent="0.2">
      <c r="A92" s="347"/>
    </row>
    <row r="93" spans="1:1" x14ac:dyDescent="0.2">
      <c r="A93" s="347"/>
    </row>
    <row r="94" spans="1:1" x14ac:dyDescent="0.2">
      <c r="A94" s="347"/>
    </row>
    <row r="95" spans="1:1" x14ac:dyDescent="0.2">
      <c r="A95" s="347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11" customWidth="1"/>
    <col min="5" max="5" width="11" bestFit="1" customWidth="1"/>
    <col min="6" max="6" width="12.140625" bestFit="1" customWidth="1"/>
    <col min="8" max="8" width="9.140625" style="130"/>
    <col min="9" max="9" width="19.28515625" bestFit="1" customWidth="1"/>
    <col min="10" max="10" width="17.7109375" bestFit="1" customWidth="1"/>
  </cols>
  <sheetData>
    <row r="1" spans="1:16" s="311" customFormat="1" x14ac:dyDescent="0.2">
      <c r="A1" s="362" t="s">
        <v>634</v>
      </c>
      <c r="B1" s="1" t="s">
        <v>669</v>
      </c>
      <c r="C1" s="1" t="s">
        <v>670</v>
      </c>
      <c r="D1" s="1" t="s">
        <v>896</v>
      </c>
      <c r="E1" s="1" t="s">
        <v>695</v>
      </c>
      <c r="F1" s="1" t="s">
        <v>702</v>
      </c>
      <c r="G1" s="1" t="s">
        <v>734</v>
      </c>
      <c r="H1" s="339"/>
      <c r="I1" s="1" t="s">
        <v>887</v>
      </c>
      <c r="J1" s="1" t="s">
        <v>905</v>
      </c>
    </row>
    <row r="2" spans="1:16" x14ac:dyDescent="0.2">
      <c r="G2">
        <v>1</v>
      </c>
    </row>
    <row r="3" spans="1:16" x14ac:dyDescent="0.2">
      <c r="A3" s="312" t="s">
        <v>630</v>
      </c>
      <c r="B3" s="319" t="s">
        <v>889</v>
      </c>
      <c r="C3" s="312" t="s">
        <v>892</v>
      </c>
      <c r="D3" s="312" t="s">
        <v>897</v>
      </c>
      <c r="E3" s="312" t="s">
        <v>696</v>
      </c>
      <c r="F3" s="312" t="s">
        <v>703</v>
      </c>
      <c r="G3">
        <v>2</v>
      </c>
      <c r="H3" s="311" t="s">
        <v>735</v>
      </c>
      <c r="I3" s="375" t="s">
        <v>917</v>
      </c>
      <c r="J3" t="s">
        <v>906</v>
      </c>
      <c r="N3" s="316"/>
      <c r="O3" s="311"/>
      <c r="P3" s="311"/>
    </row>
    <row r="4" spans="1:16" x14ac:dyDescent="0.2">
      <c r="A4" s="312" t="s">
        <v>631</v>
      </c>
      <c r="B4" s="319" t="s">
        <v>667</v>
      </c>
      <c r="C4" s="312" t="s">
        <v>893</v>
      </c>
      <c r="D4" s="312" t="s">
        <v>898</v>
      </c>
      <c r="E4" s="312" t="s">
        <v>697</v>
      </c>
      <c r="F4" s="312" t="s">
        <v>704</v>
      </c>
      <c r="G4">
        <v>3</v>
      </c>
      <c r="H4" s="311" t="s">
        <v>736</v>
      </c>
      <c r="I4" s="375" t="s">
        <v>918</v>
      </c>
      <c r="J4" t="s">
        <v>907</v>
      </c>
      <c r="N4" s="312"/>
      <c r="O4" s="311"/>
      <c r="P4" s="311"/>
    </row>
    <row r="5" spans="1:16" x14ac:dyDescent="0.2">
      <c r="A5" s="312" t="s">
        <v>632</v>
      </c>
      <c r="B5" s="319" t="s">
        <v>668</v>
      </c>
      <c r="C5" s="312" t="s">
        <v>894</v>
      </c>
      <c r="D5" s="312" t="s">
        <v>899</v>
      </c>
      <c r="E5" s="312" t="s">
        <v>698</v>
      </c>
      <c r="F5" s="312" t="s">
        <v>705</v>
      </c>
      <c r="G5" s="311">
        <v>4</v>
      </c>
      <c r="H5" s="311" t="s">
        <v>737</v>
      </c>
      <c r="I5" s="375" t="s">
        <v>919</v>
      </c>
      <c r="J5" t="s">
        <v>908</v>
      </c>
      <c r="N5" s="312"/>
      <c r="O5" s="311"/>
      <c r="P5" s="311"/>
    </row>
    <row r="6" spans="1:16" x14ac:dyDescent="0.2">
      <c r="A6" s="352"/>
      <c r="B6" s="319" t="s">
        <v>839</v>
      </c>
      <c r="C6" t="s">
        <v>895</v>
      </c>
      <c r="E6" s="312" t="s">
        <v>699</v>
      </c>
      <c r="F6" s="312" t="s">
        <v>706</v>
      </c>
      <c r="G6" s="311">
        <v>5</v>
      </c>
      <c r="H6" s="311" t="s">
        <v>738</v>
      </c>
      <c r="I6" s="338"/>
      <c r="N6" s="311"/>
      <c r="O6" s="311"/>
      <c r="P6" s="311"/>
    </row>
    <row r="7" spans="1:16" x14ac:dyDescent="0.2">
      <c r="B7" s="319" t="s">
        <v>890</v>
      </c>
      <c r="E7" s="312"/>
      <c r="G7" s="311">
        <v>6</v>
      </c>
      <c r="H7" s="311" t="s">
        <v>739</v>
      </c>
      <c r="I7" s="338"/>
      <c r="N7" s="311"/>
      <c r="O7" s="311"/>
      <c r="P7" s="311"/>
    </row>
    <row r="8" spans="1:16" x14ac:dyDescent="0.2">
      <c r="B8" s="319" t="s">
        <v>891</v>
      </c>
      <c r="G8" s="311">
        <v>7</v>
      </c>
      <c r="H8" s="311" t="s">
        <v>740</v>
      </c>
      <c r="I8" s="338"/>
      <c r="N8" s="311"/>
      <c r="O8" s="311"/>
      <c r="P8" s="311"/>
    </row>
    <row r="9" spans="1:16" x14ac:dyDescent="0.2">
      <c r="G9" s="311">
        <v>8</v>
      </c>
      <c r="H9" s="311" t="s">
        <v>741</v>
      </c>
      <c r="I9" s="338"/>
      <c r="N9" s="311"/>
      <c r="O9" s="311"/>
      <c r="P9" s="311"/>
    </row>
    <row r="10" spans="1:16" x14ac:dyDescent="0.2">
      <c r="G10" s="311">
        <v>9</v>
      </c>
      <c r="H10" s="311" t="s">
        <v>742</v>
      </c>
      <c r="I10" s="338"/>
      <c r="N10" s="311"/>
      <c r="O10" s="311"/>
      <c r="P10" s="311"/>
    </row>
    <row r="11" spans="1:16" x14ac:dyDescent="0.2">
      <c r="G11" s="311">
        <v>10</v>
      </c>
      <c r="H11" s="311" t="s">
        <v>743</v>
      </c>
      <c r="I11" s="338"/>
      <c r="N11" s="311"/>
      <c r="O11" s="311"/>
      <c r="P11" s="311"/>
    </row>
    <row r="12" spans="1:16" x14ac:dyDescent="0.2">
      <c r="G12" s="311">
        <v>11</v>
      </c>
      <c r="H12" s="311" t="s">
        <v>744</v>
      </c>
      <c r="I12" s="338"/>
      <c r="N12" s="311"/>
      <c r="O12" s="311"/>
      <c r="P12" s="311"/>
    </row>
    <row r="13" spans="1:16" x14ac:dyDescent="0.2">
      <c r="G13" s="311">
        <v>12</v>
      </c>
      <c r="H13" s="311" t="s">
        <v>745</v>
      </c>
      <c r="I13" s="338"/>
      <c r="N13" s="311"/>
      <c r="O13" s="311"/>
      <c r="P13" s="311"/>
    </row>
    <row r="14" spans="1:16" x14ac:dyDescent="0.2">
      <c r="G14" s="311">
        <v>13</v>
      </c>
      <c r="H14" s="311" t="s">
        <v>746</v>
      </c>
      <c r="I14" s="338"/>
      <c r="N14" s="311"/>
      <c r="O14" s="311"/>
      <c r="P14" s="311"/>
    </row>
    <row r="15" spans="1:16" x14ac:dyDescent="0.2">
      <c r="G15" s="311">
        <v>14</v>
      </c>
      <c r="H15" s="311" t="s">
        <v>747</v>
      </c>
      <c r="I15" s="338"/>
      <c r="N15" s="312"/>
      <c r="O15" s="311"/>
      <c r="P15" s="311"/>
    </row>
    <row r="16" spans="1:16" x14ac:dyDescent="0.2">
      <c r="G16" s="311">
        <v>15</v>
      </c>
      <c r="H16" s="311" t="s">
        <v>748</v>
      </c>
      <c r="I16" s="338"/>
      <c r="N16" s="312"/>
      <c r="O16" s="311"/>
      <c r="P16" s="311"/>
    </row>
    <row r="17" spans="7:16" x14ac:dyDescent="0.2">
      <c r="G17" s="311">
        <v>16</v>
      </c>
      <c r="H17" s="311" t="s">
        <v>749</v>
      </c>
      <c r="I17" s="338"/>
      <c r="N17" s="312"/>
      <c r="O17" s="311"/>
      <c r="P17" s="311"/>
    </row>
    <row r="18" spans="7:16" x14ac:dyDescent="0.2">
      <c r="G18" s="311">
        <v>17</v>
      </c>
      <c r="H18" s="311" t="s">
        <v>750</v>
      </c>
      <c r="I18" s="338"/>
      <c r="N18" s="312"/>
      <c r="O18" s="311"/>
      <c r="P18" s="311"/>
    </row>
    <row r="19" spans="7:16" x14ac:dyDescent="0.2">
      <c r="G19" s="311">
        <v>18</v>
      </c>
      <c r="H19" s="311" t="s">
        <v>751</v>
      </c>
      <c r="I19" s="338"/>
      <c r="N19" s="312"/>
      <c r="O19" s="311"/>
      <c r="P19" s="311"/>
    </row>
    <row r="20" spans="7:16" x14ac:dyDescent="0.2">
      <c r="G20" s="311">
        <v>19</v>
      </c>
      <c r="H20" s="311" t="s">
        <v>752</v>
      </c>
      <c r="I20" s="338"/>
      <c r="N20" s="312"/>
      <c r="O20" s="311"/>
      <c r="P20" s="311"/>
    </row>
    <row r="21" spans="7:16" x14ac:dyDescent="0.2">
      <c r="G21" s="311">
        <v>20</v>
      </c>
      <c r="H21" s="311" t="s">
        <v>753</v>
      </c>
      <c r="I21" s="338"/>
      <c r="N21" s="311"/>
      <c r="O21" s="311"/>
      <c r="P21" s="311"/>
    </row>
    <row r="22" spans="7:16" x14ac:dyDescent="0.2">
      <c r="G22" s="311">
        <v>21</v>
      </c>
      <c r="H22" s="311" t="s">
        <v>754</v>
      </c>
      <c r="I22" s="338"/>
      <c r="N22" s="312"/>
      <c r="O22" s="311"/>
      <c r="P22" s="311"/>
    </row>
    <row r="23" spans="7:16" x14ac:dyDescent="0.2">
      <c r="G23" s="311">
        <v>22</v>
      </c>
      <c r="H23" s="311" t="s">
        <v>755</v>
      </c>
      <c r="I23" s="338"/>
      <c r="N23" s="312"/>
      <c r="O23" s="311"/>
      <c r="P23" s="311"/>
    </row>
    <row r="24" spans="7:16" x14ac:dyDescent="0.2">
      <c r="G24" s="311">
        <v>23</v>
      </c>
      <c r="H24" s="311" t="s">
        <v>756</v>
      </c>
      <c r="I24" s="338"/>
      <c r="N24" s="312"/>
      <c r="O24" s="311"/>
      <c r="P24" s="311"/>
    </row>
    <row r="25" spans="7:16" x14ac:dyDescent="0.2">
      <c r="G25" s="311">
        <v>24</v>
      </c>
      <c r="H25" s="311" t="s">
        <v>757</v>
      </c>
      <c r="I25" s="338"/>
      <c r="N25" s="311"/>
      <c r="O25" s="311"/>
      <c r="P25" s="311"/>
    </row>
    <row r="26" spans="7:16" x14ac:dyDescent="0.2">
      <c r="G26" s="311">
        <v>25</v>
      </c>
      <c r="H26" s="311" t="s">
        <v>758</v>
      </c>
      <c r="I26" s="338"/>
      <c r="N26" s="312"/>
      <c r="O26" s="311"/>
      <c r="P26" s="311"/>
    </row>
    <row r="27" spans="7:16" x14ac:dyDescent="0.2">
      <c r="G27" s="311">
        <v>26</v>
      </c>
      <c r="H27" s="311" t="s">
        <v>759</v>
      </c>
      <c r="I27" s="338"/>
      <c r="N27" s="311"/>
      <c r="O27" s="311"/>
      <c r="P27" s="311"/>
    </row>
    <row r="28" spans="7:16" x14ac:dyDescent="0.2">
      <c r="G28" s="311">
        <v>27</v>
      </c>
      <c r="H28" s="311" t="s">
        <v>760</v>
      </c>
      <c r="I28" s="338"/>
      <c r="N28" s="312"/>
      <c r="O28" s="311"/>
      <c r="P28" s="311"/>
    </row>
    <row r="29" spans="7:16" x14ac:dyDescent="0.2">
      <c r="G29" s="311">
        <v>28</v>
      </c>
      <c r="H29" s="311" t="s">
        <v>761</v>
      </c>
      <c r="I29" s="338"/>
      <c r="N29" s="311"/>
      <c r="O29" s="311"/>
      <c r="P29" s="311"/>
    </row>
    <row r="30" spans="7:16" x14ac:dyDescent="0.2">
      <c r="G30" s="311">
        <v>29</v>
      </c>
      <c r="H30" s="311" t="s">
        <v>762</v>
      </c>
      <c r="I30" s="338"/>
      <c r="N30" s="312"/>
      <c r="O30" s="311"/>
      <c r="P30" s="311"/>
    </row>
    <row r="31" spans="7:16" x14ac:dyDescent="0.2">
      <c r="G31" s="311">
        <v>30</v>
      </c>
      <c r="H31" s="311" t="s">
        <v>763</v>
      </c>
      <c r="I31" s="338"/>
      <c r="N31" s="312"/>
      <c r="O31" s="311"/>
      <c r="P31" s="311"/>
    </row>
    <row r="32" spans="7:16" x14ac:dyDescent="0.2">
      <c r="G32" s="311">
        <v>31</v>
      </c>
      <c r="H32" s="311" t="s">
        <v>764</v>
      </c>
      <c r="I32" s="338"/>
      <c r="N32" s="312"/>
      <c r="O32" s="311"/>
      <c r="P32" s="311"/>
    </row>
    <row r="33" spans="7:16" x14ac:dyDescent="0.2">
      <c r="G33" s="311">
        <v>32</v>
      </c>
      <c r="H33" s="311" t="s">
        <v>765</v>
      </c>
      <c r="I33" s="338"/>
      <c r="N33" s="316"/>
      <c r="O33" s="311"/>
      <c r="P33" s="311"/>
    </row>
    <row r="34" spans="7:16" x14ac:dyDescent="0.2">
      <c r="G34" s="311">
        <v>33</v>
      </c>
      <c r="H34" s="311" t="s">
        <v>766</v>
      </c>
      <c r="I34" s="338"/>
      <c r="N34" s="312"/>
      <c r="O34" s="311"/>
      <c r="P34" s="311"/>
    </row>
    <row r="35" spans="7:16" x14ac:dyDescent="0.2">
      <c r="G35" s="311">
        <v>34</v>
      </c>
      <c r="H35" s="311" t="s">
        <v>767</v>
      </c>
      <c r="I35" s="338"/>
      <c r="N35" s="312"/>
      <c r="O35" s="311"/>
      <c r="P35" s="311"/>
    </row>
    <row r="36" spans="7:16" x14ac:dyDescent="0.2">
      <c r="G36" s="311">
        <v>35</v>
      </c>
      <c r="H36" s="311" t="s">
        <v>768</v>
      </c>
      <c r="I36" s="338"/>
      <c r="N36" s="312"/>
      <c r="O36" s="311"/>
      <c r="P36" s="311"/>
    </row>
    <row r="37" spans="7:16" x14ac:dyDescent="0.2">
      <c r="G37" s="311">
        <v>36</v>
      </c>
      <c r="H37" s="311" t="s">
        <v>769</v>
      </c>
      <c r="I37" s="338"/>
      <c r="N37" s="311"/>
      <c r="O37" s="311"/>
      <c r="P37" s="311"/>
    </row>
    <row r="38" spans="7:16" x14ac:dyDescent="0.2">
      <c r="G38" s="311">
        <v>37</v>
      </c>
      <c r="H38" s="311" t="s">
        <v>770</v>
      </c>
      <c r="I38" s="338"/>
      <c r="N38" s="312"/>
      <c r="O38" s="311"/>
      <c r="P38" s="311"/>
    </row>
    <row r="39" spans="7:16" x14ac:dyDescent="0.2">
      <c r="G39" s="311">
        <v>38</v>
      </c>
      <c r="H39" s="311" t="s">
        <v>771</v>
      </c>
      <c r="I39" s="338"/>
      <c r="N39" s="312"/>
      <c r="O39" s="311"/>
      <c r="P39" s="311"/>
    </row>
    <row r="40" spans="7:16" x14ac:dyDescent="0.2">
      <c r="G40" s="311">
        <v>39</v>
      </c>
      <c r="H40" s="311" t="s">
        <v>772</v>
      </c>
      <c r="I40" s="338"/>
      <c r="N40" s="311"/>
      <c r="O40" s="311"/>
      <c r="P40" s="311"/>
    </row>
    <row r="41" spans="7:16" x14ac:dyDescent="0.2">
      <c r="G41" s="311">
        <v>40</v>
      </c>
      <c r="H41" s="311" t="s">
        <v>773</v>
      </c>
      <c r="I41" s="338"/>
      <c r="N41" s="311"/>
      <c r="O41" s="311"/>
      <c r="P41" s="311"/>
    </row>
    <row r="42" spans="7:16" x14ac:dyDescent="0.2">
      <c r="G42" s="311">
        <v>41</v>
      </c>
      <c r="H42" s="311" t="s">
        <v>774</v>
      </c>
      <c r="I42" s="338"/>
      <c r="N42" s="311"/>
      <c r="O42" s="311"/>
      <c r="P42" s="311"/>
    </row>
    <row r="43" spans="7:16" x14ac:dyDescent="0.2">
      <c r="G43" s="311">
        <v>42</v>
      </c>
      <c r="H43" s="311" t="s">
        <v>775</v>
      </c>
      <c r="I43" s="338"/>
      <c r="N43" s="311"/>
      <c r="O43" s="311"/>
      <c r="P43" s="311"/>
    </row>
    <row r="44" spans="7:16" x14ac:dyDescent="0.2">
      <c r="G44" s="311">
        <v>43</v>
      </c>
      <c r="H44" s="311" t="s">
        <v>776</v>
      </c>
      <c r="I44" s="338"/>
      <c r="N44" s="312"/>
      <c r="O44" s="311"/>
      <c r="P44" s="311"/>
    </row>
    <row r="45" spans="7:16" x14ac:dyDescent="0.2">
      <c r="G45" s="311">
        <v>44</v>
      </c>
      <c r="H45" s="311" t="s">
        <v>777</v>
      </c>
      <c r="I45" s="338"/>
      <c r="N45" s="312"/>
      <c r="O45" s="311"/>
      <c r="P45" s="311"/>
    </row>
    <row r="46" spans="7:16" x14ac:dyDescent="0.2">
      <c r="G46" s="311">
        <v>45</v>
      </c>
      <c r="H46" s="311" t="s">
        <v>778</v>
      </c>
      <c r="I46" s="338"/>
      <c r="N46" s="312"/>
      <c r="O46" s="311"/>
      <c r="P46" s="311"/>
    </row>
    <row r="47" spans="7:16" x14ac:dyDescent="0.2">
      <c r="G47" s="311">
        <v>46</v>
      </c>
      <c r="H47" s="311" t="s">
        <v>779</v>
      </c>
      <c r="I47" s="338"/>
      <c r="N47" s="312"/>
      <c r="O47" s="311"/>
      <c r="P47" s="311"/>
    </row>
    <row r="48" spans="7:16" x14ac:dyDescent="0.2">
      <c r="G48" s="311">
        <v>47</v>
      </c>
      <c r="H48" s="311" t="s">
        <v>780</v>
      </c>
      <c r="I48" s="338"/>
      <c r="N48" s="312"/>
      <c r="O48" s="311"/>
      <c r="P48" s="311"/>
    </row>
    <row r="49" spans="7:16" x14ac:dyDescent="0.2">
      <c r="G49" s="311">
        <v>48</v>
      </c>
      <c r="H49" s="311" t="s">
        <v>781</v>
      </c>
      <c r="I49" s="338"/>
      <c r="N49" s="312"/>
      <c r="O49" s="311"/>
      <c r="P49" s="311"/>
    </row>
    <row r="50" spans="7:16" x14ac:dyDescent="0.2">
      <c r="G50" s="311">
        <v>49</v>
      </c>
      <c r="H50" s="311" t="s">
        <v>782</v>
      </c>
      <c r="I50" s="338"/>
      <c r="N50" s="312"/>
      <c r="O50" s="311"/>
      <c r="P50" s="311"/>
    </row>
    <row r="51" spans="7:16" x14ac:dyDescent="0.2">
      <c r="G51" s="311">
        <v>50</v>
      </c>
      <c r="H51" s="311" t="s">
        <v>783</v>
      </c>
      <c r="I51" s="338"/>
      <c r="N51" s="312"/>
      <c r="O51" s="311"/>
      <c r="P51" s="311"/>
    </row>
    <row r="52" spans="7:16" x14ac:dyDescent="0.2">
      <c r="G52" s="311">
        <v>51</v>
      </c>
      <c r="H52" s="311" t="s">
        <v>784</v>
      </c>
      <c r="I52" s="338"/>
      <c r="N52" s="312"/>
      <c r="O52" s="311"/>
      <c r="P52" s="311"/>
    </row>
    <row r="53" spans="7:16" x14ac:dyDescent="0.2">
      <c r="G53" s="311">
        <v>52</v>
      </c>
      <c r="H53" s="311" t="s">
        <v>785</v>
      </c>
      <c r="I53" s="338"/>
      <c r="N53" s="312"/>
      <c r="O53" s="311"/>
      <c r="P53" s="311"/>
    </row>
    <row r="54" spans="7:16" x14ac:dyDescent="0.2">
      <c r="G54" s="311">
        <v>53</v>
      </c>
      <c r="H54" s="311" t="s">
        <v>786</v>
      </c>
      <c r="I54" s="338"/>
      <c r="N54" s="312"/>
      <c r="O54" s="311"/>
      <c r="P54" s="311"/>
    </row>
    <row r="55" spans="7:16" x14ac:dyDescent="0.2">
      <c r="G55" s="311">
        <v>54</v>
      </c>
      <c r="H55" s="311" t="s">
        <v>787</v>
      </c>
      <c r="I55" s="338"/>
      <c r="N55" s="312"/>
      <c r="O55" s="311"/>
      <c r="P55" s="311"/>
    </row>
    <row r="56" spans="7:16" x14ac:dyDescent="0.2">
      <c r="G56" s="311">
        <v>55</v>
      </c>
      <c r="H56" s="311" t="s">
        <v>788</v>
      </c>
      <c r="I56" s="338"/>
      <c r="N56" s="311"/>
      <c r="O56" s="311"/>
      <c r="P56" s="311"/>
    </row>
    <row r="57" spans="7:16" x14ac:dyDescent="0.2">
      <c r="G57" s="311">
        <v>56</v>
      </c>
      <c r="H57" s="311" t="s">
        <v>789</v>
      </c>
      <c r="I57" s="338"/>
      <c r="N57" s="311"/>
      <c r="O57" s="311"/>
      <c r="P57" s="311"/>
    </row>
    <row r="58" spans="7:16" x14ac:dyDescent="0.2">
      <c r="G58" s="311">
        <v>57</v>
      </c>
      <c r="H58" s="311" t="s">
        <v>790</v>
      </c>
      <c r="I58" s="338"/>
      <c r="N58" s="312"/>
      <c r="O58" s="311"/>
      <c r="P58" s="311"/>
    </row>
    <row r="59" spans="7:16" x14ac:dyDescent="0.2">
      <c r="G59" s="311">
        <v>58</v>
      </c>
      <c r="H59" s="311" t="s">
        <v>791</v>
      </c>
      <c r="I59" s="338"/>
      <c r="N59" s="311"/>
      <c r="O59" s="311"/>
      <c r="P59" s="311"/>
    </row>
    <row r="60" spans="7:16" x14ac:dyDescent="0.2">
      <c r="G60" s="311">
        <v>59</v>
      </c>
      <c r="H60" s="311" t="s">
        <v>792</v>
      </c>
      <c r="I60" s="338"/>
      <c r="N60" s="312"/>
      <c r="O60" s="311"/>
      <c r="P60" s="311"/>
    </row>
    <row r="61" spans="7:16" x14ac:dyDescent="0.2">
      <c r="G61" s="311">
        <v>60</v>
      </c>
      <c r="H61" s="311" t="s">
        <v>793</v>
      </c>
      <c r="I61" s="338"/>
      <c r="N61" s="312"/>
      <c r="O61" s="311"/>
      <c r="P61" s="311"/>
    </row>
    <row r="62" spans="7:16" x14ac:dyDescent="0.2">
      <c r="G62" s="311">
        <v>61</v>
      </c>
      <c r="H62" s="311" t="s">
        <v>794</v>
      </c>
      <c r="I62" s="338"/>
      <c r="N62" s="311"/>
      <c r="O62" s="311"/>
      <c r="P62" s="311"/>
    </row>
    <row r="63" spans="7:16" x14ac:dyDescent="0.2">
      <c r="G63" s="311">
        <v>62</v>
      </c>
      <c r="H63" s="311" t="s">
        <v>795</v>
      </c>
      <c r="I63" s="338"/>
      <c r="N63" s="312"/>
      <c r="O63" s="311"/>
      <c r="P63" s="311"/>
    </row>
    <row r="64" spans="7:16" x14ac:dyDescent="0.2">
      <c r="G64" s="311">
        <v>63</v>
      </c>
      <c r="H64" s="311" t="s">
        <v>796</v>
      </c>
      <c r="I64" s="338"/>
      <c r="N64" s="312"/>
      <c r="O64" s="311"/>
      <c r="P64" s="311"/>
    </row>
    <row r="65" spans="7:16" x14ac:dyDescent="0.2">
      <c r="G65" s="311">
        <v>64</v>
      </c>
      <c r="H65" s="311" t="s">
        <v>797</v>
      </c>
      <c r="I65" s="338"/>
      <c r="N65" s="312"/>
      <c r="O65" s="311"/>
      <c r="P65" s="311"/>
    </row>
    <row r="66" spans="7:16" x14ac:dyDescent="0.2">
      <c r="G66" s="311">
        <v>65</v>
      </c>
      <c r="H66" s="311" t="s">
        <v>798</v>
      </c>
      <c r="I66" s="338"/>
      <c r="N66" s="312"/>
      <c r="O66" s="311"/>
      <c r="P66" s="311"/>
    </row>
    <row r="67" spans="7:16" x14ac:dyDescent="0.2">
      <c r="G67" s="311">
        <v>66</v>
      </c>
      <c r="H67" s="311" t="s">
        <v>799</v>
      </c>
      <c r="I67" s="338"/>
      <c r="N67" s="311"/>
      <c r="O67" s="311"/>
      <c r="P67" s="311"/>
    </row>
    <row r="68" spans="7:16" x14ac:dyDescent="0.2">
      <c r="G68" s="311">
        <v>67</v>
      </c>
      <c r="H68" s="311" t="s">
        <v>800</v>
      </c>
      <c r="I68" s="338"/>
      <c r="N68" s="312"/>
      <c r="O68" s="311"/>
      <c r="P68" s="311"/>
    </row>
    <row r="69" spans="7:16" x14ac:dyDescent="0.2">
      <c r="G69" s="311">
        <v>68</v>
      </c>
      <c r="H69" s="311" t="s">
        <v>801</v>
      </c>
      <c r="I69" s="338"/>
      <c r="N69" s="312"/>
      <c r="O69" s="311"/>
      <c r="P69" s="311"/>
    </row>
    <row r="70" spans="7:16" x14ac:dyDescent="0.2">
      <c r="G70" s="311">
        <v>69</v>
      </c>
      <c r="H70" s="311" t="s">
        <v>802</v>
      </c>
      <c r="I70" s="338"/>
      <c r="N70" s="312"/>
      <c r="O70" s="311"/>
      <c r="P70" s="311"/>
    </row>
    <row r="71" spans="7:16" x14ac:dyDescent="0.2">
      <c r="G71" s="311">
        <v>70</v>
      </c>
      <c r="H71" s="311" t="s">
        <v>803</v>
      </c>
      <c r="I71" s="338"/>
      <c r="N71" s="312"/>
      <c r="O71" s="311"/>
      <c r="P71" s="311"/>
    </row>
    <row r="72" spans="7:16" x14ac:dyDescent="0.2">
      <c r="G72" s="311">
        <v>71</v>
      </c>
      <c r="H72" s="311" t="s">
        <v>804</v>
      </c>
      <c r="I72" s="338"/>
      <c r="N72" s="312"/>
      <c r="O72" s="311"/>
      <c r="P72" s="311"/>
    </row>
    <row r="73" spans="7:16" x14ac:dyDescent="0.2">
      <c r="G73" s="311">
        <v>72</v>
      </c>
      <c r="H73" s="311" t="s">
        <v>805</v>
      </c>
      <c r="I73" s="338"/>
      <c r="N73" s="312"/>
      <c r="O73" s="311"/>
      <c r="P73" s="311"/>
    </row>
    <row r="74" spans="7:16" x14ac:dyDescent="0.2">
      <c r="G74" s="311">
        <v>73</v>
      </c>
      <c r="H74" s="311" t="s">
        <v>806</v>
      </c>
      <c r="I74" s="338"/>
      <c r="N74" s="311"/>
      <c r="O74" s="311"/>
      <c r="P74" s="311"/>
    </row>
    <row r="75" spans="7:16" x14ac:dyDescent="0.2">
      <c r="G75" s="311">
        <v>74</v>
      </c>
      <c r="H75" s="311" t="s">
        <v>807</v>
      </c>
      <c r="I75" s="338"/>
      <c r="N75" s="311"/>
      <c r="O75" s="311"/>
      <c r="P75" s="311"/>
    </row>
    <row r="76" spans="7:16" x14ac:dyDescent="0.2">
      <c r="G76" s="311">
        <v>75</v>
      </c>
      <c r="H76" s="311" t="s">
        <v>808</v>
      </c>
      <c r="I76" s="338"/>
    </row>
    <row r="77" spans="7:16" x14ac:dyDescent="0.2">
      <c r="G77" s="311">
        <v>76</v>
      </c>
      <c r="H77" s="311" t="s">
        <v>809</v>
      </c>
      <c r="I77" s="338"/>
    </row>
    <row r="78" spans="7:16" x14ac:dyDescent="0.2">
      <c r="G78" s="311">
        <v>77</v>
      </c>
      <c r="H78" s="311" t="s">
        <v>810</v>
      </c>
      <c r="I78" s="338"/>
    </row>
    <row r="79" spans="7:16" x14ac:dyDescent="0.2">
      <c r="G79" s="311">
        <v>78</v>
      </c>
      <c r="H79" s="311" t="s">
        <v>811</v>
      </c>
      <c r="I79" s="338"/>
    </row>
    <row r="80" spans="7:16" x14ac:dyDescent="0.2">
      <c r="G80" s="311">
        <v>79</v>
      </c>
      <c r="H80" s="311" t="s">
        <v>812</v>
      </c>
      <c r="I80" s="338"/>
    </row>
    <row r="81" spans="7:9" x14ac:dyDescent="0.2">
      <c r="G81" s="311">
        <v>80</v>
      </c>
      <c r="H81" s="311" t="s">
        <v>813</v>
      </c>
      <c r="I81" s="338"/>
    </row>
    <row r="82" spans="7:9" x14ac:dyDescent="0.2">
      <c r="G82" s="311">
        <v>81</v>
      </c>
      <c r="H82" s="311" t="s">
        <v>814</v>
      </c>
      <c r="I82" s="338"/>
    </row>
    <row r="83" spans="7:9" x14ac:dyDescent="0.2">
      <c r="G83" s="311">
        <v>82</v>
      </c>
      <c r="H83" s="311" t="s">
        <v>815</v>
      </c>
      <c r="I83" s="338"/>
    </row>
    <row r="84" spans="7:9" x14ac:dyDescent="0.2">
      <c r="G84" s="311">
        <v>83</v>
      </c>
      <c r="H84" s="311" t="s">
        <v>816</v>
      </c>
      <c r="I84" s="338"/>
    </row>
    <row r="85" spans="7:9" x14ac:dyDescent="0.2">
      <c r="G85" s="311">
        <v>84</v>
      </c>
      <c r="H85" s="311" t="s">
        <v>817</v>
      </c>
      <c r="I85" s="338"/>
    </row>
    <row r="86" spans="7:9" x14ac:dyDescent="0.2">
      <c r="G86" s="311">
        <v>85</v>
      </c>
      <c r="H86" s="311" t="s">
        <v>818</v>
      </c>
      <c r="I86" s="338"/>
    </row>
    <row r="87" spans="7:9" x14ac:dyDescent="0.2">
      <c r="G87" s="311">
        <v>86</v>
      </c>
      <c r="H87" s="311" t="s">
        <v>819</v>
      </c>
      <c r="I87" s="338"/>
    </row>
    <row r="88" spans="7:9" x14ac:dyDescent="0.2">
      <c r="G88" s="311">
        <v>87</v>
      </c>
      <c r="H88" s="311" t="s">
        <v>820</v>
      </c>
      <c r="I88" s="338"/>
    </row>
    <row r="89" spans="7:9" x14ac:dyDescent="0.2">
      <c r="G89" s="311">
        <v>88</v>
      </c>
      <c r="H89" s="311" t="s">
        <v>821</v>
      </c>
      <c r="I89" s="338"/>
    </row>
    <row r="90" spans="7:9" x14ac:dyDescent="0.2">
      <c r="G90" s="311">
        <v>89</v>
      </c>
      <c r="H90" s="311" t="s">
        <v>822</v>
      </c>
      <c r="I90" s="338"/>
    </row>
    <row r="91" spans="7:9" x14ac:dyDescent="0.2">
      <c r="G91" s="311">
        <v>90</v>
      </c>
      <c r="H91" s="311" t="s">
        <v>823</v>
      </c>
      <c r="I91" s="338"/>
    </row>
    <row r="92" spans="7:9" x14ac:dyDescent="0.2">
      <c r="G92" s="311">
        <v>91</v>
      </c>
      <c r="H92" s="311" t="s">
        <v>824</v>
      </c>
      <c r="I92" s="338"/>
    </row>
    <row r="93" spans="7:9" x14ac:dyDescent="0.2">
      <c r="G93" s="311">
        <v>92</v>
      </c>
      <c r="H93" s="311" t="s">
        <v>825</v>
      </c>
      <c r="I93" s="338"/>
    </row>
    <row r="94" spans="7:9" x14ac:dyDescent="0.2">
      <c r="G94" s="311">
        <v>93</v>
      </c>
      <c r="H94" s="311" t="s">
        <v>826</v>
      </c>
      <c r="I94" s="338"/>
    </row>
    <row r="95" spans="7:9" x14ac:dyDescent="0.2">
      <c r="G95" s="311">
        <v>94</v>
      </c>
      <c r="H95" s="311" t="s">
        <v>827</v>
      </c>
      <c r="I95" s="338"/>
    </row>
    <row r="96" spans="7:9" x14ac:dyDescent="0.2">
      <c r="G96" s="311">
        <v>95</v>
      </c>
      <c r="H96" s="311" t="s">
        <v>828</v>
      </c>
      <c r="I96" s="338"/>
    </row>
    <row r="97" spans="7:9" x14ac:dyDescent="0.2">
      <c r="G97" s="311">
        <v>96</v>
      </c>
      <c r="H97" s="311" t="s">
        <v>829</v>
      </c>
      <c r="I97" s="338"/>
    </row>
    <row r="98" spans="7:9" x14ac:dyDescent="0.2">
      <c r="G98" s="311">
        <v>97</v>
      </c>
      <c r="H98" s="311" t="s">
        <v>830</v>
      </c>
      <c r="I98" s="338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622"/>
    <col min="2" max="2" width="10.28515625" style="656" customWidth="1"/>
    <col min="3" max="3" width="19.7109375" style="622" customWidth="1"/>
    <col min="4" max="4" width="24.5703125" style="622" customWidth="1"/>
    <col min="5" max="5" width="17.7109375" style="622" customWidth="1"/>
    <col min="6" max="7" width="18.7109375" style="622" customWidth="1"/>
    <col min="8" max="11" width="9.140625" style="622"/>
    <col min="12" max="21" width="0" style="622" hidden="1" customWidth="1"/>
    <col min="22" max="16384" width="9.140625" style="622"/>
  </cols>
  <sheetData>
    <row r="1" spans="1:25 4305:4305" x14ac:dyDescent="0.2">
      <c r="A1" s="691"/>
      <c r="J1" s="699"/>
      <c r="K1" s="699"/>
      <c r="L1" s="700" t="s">
        <v>717</v>
      </c>
      <c r="M1" s="700" t="s">
        <v>725</v>
      </c>
      <c r="N1" s="700" t="s">
        <v>718</v>
      </c>
      <c r="O1" s="700"/>
      <c r="P1" s="700"/>
      <c r="Q1" s="700"/>
      <c r="R1" s="700"/>
      <c r="S1" s="700" t="s">
        <v>726</v>
      </c>
      <c r="T1" s="700" t="s">
        <v>727</v>
      </c>
      <c r="U1" s="700"/>
      <c r="V1" s="700"/>
      <c r="W1" s="700"/>
      <c r="X1" s="700"/>
      <c r="Y1" s="699"/>
    </row>
    <row r="2" spans="1:25 4305:4305" ht="15" customHeight="1" x14ac:dyDescent="0.2">
      <c r="B2" s="604" t="str">
        <f>"Patient: "&amp;__2_AchterNaam&amp;", "&amp;__3_VoorNaam</f>
        <v xml:space="preserve">Patient: , </v>
      </c>
      <c r="C2" s="604"/>
      <c r="D2" s="641"/>
      <c r="E2" s="604" t="str">
        <f ca="1">"Geschatte lengte: "&amp;VLOOKUP(C5+D5/12,PedTblLengte!A2:D45,4)&amp;" cm"</f>
        <v>Geschatte lengte: 175.15 cm</v>
      </c>
      <c r="F2" s="641"/>
      <c r="G2" s="604"/>
      <c r="H2" s="614"/>
      <c r="I2" s="614"/>
      <c r="J2" s="699"/>
      <c r="K2" s="699"/>
      <c r="L2" s="700">
        <v>0</v>
      </c>
      <c r="M2" s="700">
        <v>40</v>
      </c>
      <c r="N2" s="700">
        <v>3.5</v>
      </c>
      <c r="O2" s="700">
        <v>0</v>
      </c>
      <c r="P2" s="700">
        <v>3.5</v>
      </c>
      <c r="Q2" s="700">
        <v>51</v>
      </c>
      <c r="R2" s="700"/>
      <c r="S2" s="700">
        <v>1</v>
      </c>
      <c r="T2" s="700">
        <v>1</v>
      </c>
      <c r="U2" s="700">
        <v>1</v>
      </c>
      <c r="V2" s="700"/>
      <c r="W2" s="700"/>
      <c r="X2" s="700"/>
      <c r="Y2" s="699"/>
      <c r="FIO2" s="622">
        <v>30</v>
      </c>
    </row>
    <row r="3" spans="1:25 4305:4305" ht="15" customHeight="1" x14ac:dyDescent="0.2">
      <c r="B3" s="604" t="str">
        <f>"Geb datum.: "</f>
        <v xml:space="preserve">Geb datum.: </v>
      </c>
      <c r="C3" s="799">
        <f>__4_GebDatum</f>
        <v>1462</v>
      </c>
      <c r="D3" s="641"/>
      <c r="E3" s="604" t="str">
        <f ca="1">"Geschat gewicht: "&amp;VLOOKUP(C5+D5/12,PedTblGew!A2:T49,20)&amp;" kg"</f>
        <v>Geschat gewicht: 66.1 kg</v>
      </c>
      <c r="F3" s="800"/>
      <c r="G3" s="604"/>
      <c r="H3" s="614"/>
      <c r="I3" s="614"/>
      <c r="J3" s="699"/>
      <c r="K3" s="699"/>
      <c r="L3" s="700">
        <v>1</v>
      </c>
      <c r="M3" s="700">
        <v>30</v>
      </c>
      <c r="N3" s="700">
        <v>4.5</v>
      </c>
      <c r="O3" s="700">
        <v>1</v>
      </c>
      <c r="P3" s="700">
        <v>4.2</v>
      </c>
      <c r="Q3" s="700">
        <v>54</v>
      </c>
      <c r="R3" s="700"/>
      <c r="S3" s="700">
        <v>2</v>
      </c>
      <c r="T3" s="700">
        <v>2</v>
      </c>
      <c r="U3" s="700">
        <v>2</v>
      </c>
      <c r="V3" s="700"/>
      <c r="W3" s="700"/>
      <c r="X3" s="700"/>
      <c r="Y3" s="699"/>
    </row>
    <row r="4" spans="1:25 4305:4305" ht="15.75" customHeight="1" x14ac:dyDescent="0.2">
      <c r="B4" s="631"/>
      <c r="C4" s="801" t="s">
        <v>415</v>
      </c>
      <c r="D4" s="801" t="s">
        <v>416</v>
      </c>
      <c r="E4" s="801" t="s">
        <v>267</v>
      </c>
      <c r="F4" s="801" t="s">
        <v>128</v>
      </c>
      <c r="G4" s="801" t="s">
        <v>52</v>
      </c>
      <c r="H4" s="614"/>
      <c r="J4" s="702"/>
      <c r="K4" s="702"/>
      <c r="L4" s="700">
        <v>2</v>
      </c>
      <c r="M4" s="700">
        <v>25</v>
      </c>
      <c r="N4" s="700">
        <v>4.5</v>
      </c>
      <c r="O4" s="700">
        <v>2</v>
      </c>
      <c r="P4" s="700">
        <v>5</v>
      </c>
      <c r="Q4" s="700">
        <v>57</v>
      </c>
      <c r="R4" s="700"/>
      <c r="S4" s="700">
        <v>3</v>
      </c>
      <c r="T4" s="700">
        <v>3</v>
      </c>
      <c r="U4" s="700">
        <v>3</v>
      </c>
      <c r="V4" s="700"/>
      <c r="W4" s="700"/>
      <c r="X4" s="700"/>
      <c r="Y4" s="699"/>
    </row>
    <row r="5" spans="1:25 4305:4305" ht="15" customHeight="1" x14ac:dyDescent="0.2">
      <c r="B5" s="631"/>
      <c r="C5" s="801">
        <f ca="1">TRUNC((Var_AfspraakDatum-__4_GebDatum)/365,0)</f>
        <v>113</v>
      </c>
      <c r="D5" s="801">
        <f ca="1">TRUNC(((Var_AfspraakDatum-__4_GebDatum)-365*TRUNC((Var_AfspraakDatum-__4_GebDatum)/365,0))/30,0)</f>
        <v>1</v>
      </c>
      <c r="E5" s="801">
        <f>_Pat_Gewicht/10</f>
        <v>0</v>
      </c>
      <c r="F5" s="801">
        <f>_Pat_Lengte</f>
        <v>0</v>
      </c>
      <c r="G5" s="801">
        <f>ROUND(POWER(E5,0.425)*POWER(((F5/100)*100),0.725)*0.007184,2)</f>
        <v>0</v>
      </c>
      <c r="H5" s="614"/>
      <c r="J5" s="702"/>
      <c r="K5" s="702"/>
      <c r="L5" s="700">
        <v>3</v>
      </c>
      <c r="M5" s="700">
        <v>25</v>
      </c>
      <c r="N5" s="700">
        <v>5</v>
      </c>
      <c r="O5" s="700">
        <v>3</v>
      </c>
      <c r="P5" s="700">
        <v>5.7</v>
      </c>
      <c r="Q5" s="700">
        <v>60</v>
      </c>
      <c r="R5" s="700"/>
      <c r="S5" s="700">
        <v>4</v>
      </c>
      <c r="T5" s="700">
        <v>3</v>
      </c>
      <c r="U5" s="700"/>
      <c r="V5" s="700"/>
      <c r="W5" s="700"/>
      <c r="X5" s="700"/>
      <c r="Y5" s="699"/>
    </row>
    <row r="6" spans="1:25 4305:4305" ht="15" customHeight="1" thickBot="1" x14ac:dyDescent="0.25">
      <c r="A6" s="691"/>
      <c r="B6" s="662"/>
      <c r="C6" s="701"/>
      <c r="D6" s="701"/>
      <c r="E6" s="701"/>
      <c r="F6" s="701"/>
      <c r="G6" s="701"/>
      <c r="H6" s="614"/>
      <c r="J6" s="702"/>
      <c r="K6" s="702"/>
      <c r="L6" s="700">
        <v>4</v>
      </c>
      <c r="M6" s="700">
        <v>25</v>
      </c>
      <c r="N6" s="700">
        <v>5</v>
      </c>
      <c r="O6" s="700">
        <v>4</v>
      </c>
      <c r="P6" s="700">
        <v>6.5</v>
      </c>
      <c r="Q6" s="700">
        <v>63</v>
      </c>
      <c r="R6" s="700"/>
      <c r="S6" s="700">
        <v>5</v>
      </c>
      <c r="T6" s="700">
        <v>5</v>
      </c>
      <c r="U6" s="700">
        <v>5</v>
      </c>
      <c r="V6" s="700"/>
      <c r="W6" s="700"/>
      <c r="X6" s="700"/>
      <c r="Y6" s="699"/>
    </row>
    <row r="7" spans="1:25 4305:4305" ht="20.100000000000001" customHeight="1" thickBot="1" x14ac:dyDescent="0.25">
      <c r="B7" s="632" t="s">
        <v>307</v>
      </c>
      <c r="C7" s="784" t="s">
        <v>53</v>
      </c>
      <c r="D7" s="759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760"/>
      <c r="F7" s="760"/>
      <c r="G7" s="761"/>
      <c r="H7" s="614"/>
      <c r="I7" s="614"/>
      <c r="J7" s="699"/>
      <c r="K7" s="699"/>
      <c r="L7" s="700">
        <v>5</v>
      </c>
      <c r="M7" s="700">
        <v>25</v>
      </c>
      <c r="N7" s="700">
        <v>5.5</v>
      </c>
      <c r="O7" s="700">
        <v>5</v>
      </c>
      <c r="P7" s="700">
        <v>7</v>
      </c>
      <c r="Q7" s="700">
        <v>65</v>
      </c>
      <c r="R7" s="700"/>
      <c r="S7" s="700">
        <v>6</v>
      </c>
      <c r="T7" s="700">
        <v>5</v>
      </c>
      <c r="U7" s="700"/>
      <c r="V7" s="700"/>
      <c r="W7" s="700"/>
      <c r="X7" s="700"/>
      <c r="Y7" s="699"/>
    </row>
    <row r="8" spans="1:25 4305:4305" ht="20.100000000000001" customHeight="1" thickTop="1" thickBot="1" x14ac:dyDescent="0.25">
      <c r="B8" s="632"/>
      <c r="C8" s="592" t="s">
        <v>54</v>
      </c>
      <c r="D8" s="762" t="str">
        <f>IF(_Pat_Gewicht&gt;0,IF(ROUND((E5)*4,0)&gt;150,150,VLOOKUP(ROUND(E5*4,0),S2:T362,2))&amp;" Joules Asynchroon","")</f>
        <v/>
      </c>
      <c r="E8" s="580"/>
      <c r="F8" s="580"/>
      <c r="G8" s="763" t="s">
        <v>0</v>
      </c>
      <c r="H8" s="614"/>
      <c r="I8" s="614"/>
      <c r="J8" s="699"/>
      <c r="K8" s="699"/>
      <c r="L8" s="700">
        <v>6</v>
      </c>
      <c r="M8" s="700">
        <v>20</v>
      </c>
      <c r="N8" s="700">
        <v>5.5</v>
      </c>
      <c r="O8" s="700">
        <v>6</v>
      </c>
      <c r="P8" s="700">
        <v>7.7</v>
      </c>
      <c r="Q8" s="700">
        <v>67</v>
      </c>
      <c r="R8" s="700"/>
      <c r="S8" s="700">
        <v>7</v>
      </c>
      <c r="T8" s="700">
        <v>7</v>
      </c>
      <c r="U8" s="700">
        <v>7</v>
      </c>
      <c r="V8" s="700"/>
      <c r="W8" s="700"/>
      <c r="X8" s="700"/>
      <c r="Y8" s="699"/>
    </row>
    <row r="9" spans="1:25 4305:4305" ht="20.100000000000001" customHeight="1" thickTop="1" thickBot="1" x14ac:dyDescent="0.25">
      <c r="B9" s="632"/>
      <c r="C9" s="592" t="s">
        <v>118</v>
      </c>
      <c r="D9" s="762" t="str">
        <f ca="1">IF(OR(ROUND(0.01*(E5),2)&gt;1,C5&gt;=18),"1 mg iv",ROUND(0.01*(E5),2)&amp;" mg iv")</f>
        <v>1 mg iv</v>
      </c>
      <c r="E9" s="580" t="str">
        <f>"= "&amp;IF(ROUND(0.01*(E5),2)&gt;1,"1 ml van 1mg = 10 ml (1:10.000)",ROUND(0.1*(E5),1)&amp;" ml van 1mg = 10 ml (1:10.000)")</f>
        <v>= 0 ml van 1mg = 10 ml (1:10.000)</v>
      </c>
      <c r="F9" s="580"/>
      <c r="G9" s="763" t="s">
        <v>1</v>
      </c>
      <c r="H9" s="614"/>
      <c r="I9" s="614"/>
      <c r="J9" s="699"/>
      <c r="K9" s="699"/>
      <c r="L9" s="700">
        <v>7</v>
      </c>
      <c r="M9" s="700">
        <v>20</v>
      </c>
      <c r="N9" s="700">
        <v>6</v>
      </c>
      <c r="O9" s="700">
        <v>7</v>
      </c>
      <c r="P9" s="700">
        <v>8.1999999999999993</v>
      </c>
      <c r="Q9" s="700">
        <v>69</v>
      </c>
      <c r="R9" s="700"/>
      <c r="S9" s="700">
        <v>8</v>
      </c>
      <c r="T9" s="700">
        <v>7</v>
      </c>
      <c r="U9" s="700"/>
      <c r="V9" s="700"/>
      <c r="W9" s="700"/>
      <c r="X9" s="700"/>
      <c r="Y9" s="699"/>
    </row>
    <row r="10" spans="1:25 4305:4305" ht="20.100000000000001" customHeight="1" thickTop="1" thickBot="1" x14ac:dyDescent="0.25">
      <c r="B10" s="632"/>
      <c r="C10" s="592" t="s">
        <v>55</v>
      </c>
      <c r="D10" s="762" t="str">
        <f>ROUND(IF(E5&gt;50,50,0.5*E5),0)&amp;" ml iv"</f>
        <v>0 ml iv</v>
      </c>
      <c r="E10" s="580"/>
      <c r="F10" s="580"/>
      <c r="G10" s="763" t="s">
        <v>2</v>
      </c>
      <c r="H10" s="614"/>
      <c r="I10" s="614"/>
      <c r="J10" s="699"/>
      <c r="K10" s="699"/>
      <c r="L10" s="700">
        <v>8</v>
      </c>
      <c r="M10" s="700">
        <v>20</v>
      </c>
      <c r="N10" s="700">
        <v>6</v>
      </c>
      <c r="O10" s="700">
        <v>8</v>
      </c>
      <c r="P10" s="700">
        <v>8.5</v>
      </c>
      <c r="Q10" s="700">
        <v>70</v>
      </c>
      <c r="R10" s="700"/>
      <c r="S10" s="700">
        <v>9</v>
      </c>
      <c r="T10" s="700">
        <v>7</v>
      </c>
      <c r="U10" s="700"/>
      <c r="V10" s="700"/>
      <c r="W10" s="700"/>
      <c r="X10" s="700"/>
      <c r="Y10" s="699"/>
    </row>
    <row r="11" spans="1:25 4305:4305" ht="20.100000000000001" customHeight="1" thickTop="1" thickBot="1" x14ac:dyDescent="0.25">
      <c r="B11" s="632"/>
      <c r="C11" s="592" t="s">
        <v>185</v>
      </c>
      <c r="D11" s="762" t="str">
        <f>IF(0.2*E5&lt;=25,0.2*E5&amp;" gram iv","25 gram iv")</f>
        <v>0 gram iv</v>
      </c>
      <c r="E11" s="580" t="str">
        <f>"="&amp;" "&amp;IF(2*E5&lt;=250,ROUND(2*E5,0)&amp;" ml glucose 10%","250 ml glucose 10%")</f>
        <v>= 0 ml glucose 10%</v>
      </c>
      <c r="F11" s="580"/>
      <c r="G11" s="763" t="s">
        <v>3</v>
      </c>
      <c r="H11" s="614"/>
      <c r="I11" s="614"/>
      <c r="J11" s="699"/>
      <c r="K11" s="699"/>
      <c r="L11" s="700">
        <v>9</v>
      </c>
      <c r="M11" s="700">
        <v>20</v>
      </c>
      <c r="N11" s="700">
        <v>6.5</v>
      </c>
      <c r="O11" s="700">
        <v>9</v>
      </c>
      <c r="P11" s="700">
        <v>9</v>
      </c>
      <c r="Q11" s="700">
        <v>72</v>
      </c>
      <c r="R11" s="700"/>
      <c r="S11" s="700">
        <v>10</v>
      </c>
      <c r="T11" s="700">
        <v>10</v>
      </c>
      <c r="U11" s="700">
        <v>10</v>
      </c>
      <c r="V11" s="700"/>
      <c r="W11" s="700"/>
      <c r="X11" s="700"/>
      <c r="Y11" s="699"/>
    </row>
    <row r="12" spans="1:25 4305:4305" ht="20.100000000000001" customHeight="1" thickTop="1" thickBot="1" x14ac:dyDescent="0.25">
      <c r="B12" s="632"/>
      <c r="C12" s="785" t="s">
        <v>56</v>
      </c>
      <c r="D12" s="764" t="str">
        <f>IF(ROUND(20*E5/10,0)*10&gt;500,500,ROUND(20*E5/10,0)*10)&amp;" ml fysiologisch zout iv per bolus"</f>
        <v>0 ml fysiologisch zout iv per bolus</v>
      </c>
      <c r="E12" s="765"/>
      <c r="F12" s="765"/>
      <c r="G12" s="766" t="s">
        <v>4</v>
      </c>
      <c r="H12" s="614"/>
      <c r="I12" s="614"/>
      <c r="J12" s="699"/>
      <c r="K12" s="699"/>
      <c r="L12" s="700">
        <v>10</v>
      </c>
      <c r="M12" s="700">
        <v>20</v>
      </c>
      <c r="N12" s="700">
        <v>6.5</v>
      </c>
      <c r="O12" s="700">
        <v>10</v>
      </c>
      <c r="P12" s="700">
        <v>9.3000000000000007</v>
      </c>
      <c r="Q12" s="700">
        <v>73</v>
      </c>
      <c r="R12" s="700"/>
      <c r="S12" s="700">
        <v>11</v>
      </c>
      <c r="T12" s="700">
        <v>10</v>
      </c>
      <c r="U12" s="700"/>
      <c r="V12" s="700"/>
      <c r="W12" s="700"/>
      <c r="X12" s="700"/>
      <c r="Y12" s="699"/>
    </row>
    <row r="13" spans="1:25 4305:4305" ht="20.100000000000001" customHeight="1" thickBot="1" x14ac:dyDescent="0.25">
      <c r="B13" s="662"/>
      <c r="C13" s="614"/>
      <c r="D13" s="610"/>
      <c r="E13" s="614"/>
      <c r="F13" s="614"/>
      <c r="G13" s="704"/>
      <c r="H13" s="614"/>
      <c r="I13" s="614"/>
      <c r="J13" s="699"/>
      <c r="K13" s="699"/>
      <c r="L13" s="700">
        <v>11</v>
      </c>
      <c r="M13" s="700">
        <v>20</v>
      </c>
      <c r="N13" s="700">
        <v>7</v>
      </c>
      <c r="O13" s="700">
        <v>11</v>
      </c>
      <c r="P13" s="700">
        <v>9.5</v>
      </c>
      <c r="Q13" s="700">
        <v>74</v>
      </c>
      <c r="R13" s="700"/>
      <c r="S13" s="700">
        <v>12</v>
      </c>
      <c r="T13" s="700">
        <v>10</v>
      </c>
      <c r="U13" s="700"/>
      <c r="V13" s="700"/>
      <c r="W13" s="700"/>
      <c r="X13" s="700"/>
      <c r="Y13" s="699"/>
    </row>
    <row r="14" spans="1:25 4305:4305" ht="20.100000000000001" customHeight="1" thickBot="1" x14ac:dyDescent="0.25">
      <c r="B14" s="632" t="s">
        <v>373</v>
      </c>
      <c r="C14" s="784" t="s">
        <v>316</v>
      </c>
      <c r="D14" s="759" t="str">
        <f>IF(0.5*E5&gt;20,"20 mg iv",0.5*E5&amp;" mg iv")</f>
        <v>0 mg iv</v>
      </c>
      <c r="E14" s="760" t="str">
        <f>"= "&amp;IF(0.5*E5&gt;20,"10 ml van een 2 mg/ml oplossing",ROUND(0.5*E5*0.5,1)&amp;" ml van een 2 mg/ml oplossing")</f>
        <v>= 0 ml van een 2 mg/ml oplossing</v>
      </c>
      <c r="F14" s="760"/>
      <c r="G14" s="761" t="s">
        <v>5</v>
      </c>
      <c r="H14" s="614"/>
      <c r="I14" s="614"/>
      <c r="J14" s="699"/>
      <c r="K14" s="699"/>
      <c r="L14" s="700">
        <v>12</v>
      </c>
      <c r="M14" s="700">
        <v>15</v>
      </c>
      <c r="N14" s="700">
        <v>7</v>
      </c>
      <c r="O14" s="700">
        <v>12</v>
      </c>
      <c r="P14" s="700">
        <v>10</v>
      </c>
      <c r="Q14" s="700">
        <v>76</v>
      </c>
      <c r="R14" s="700"/>
      <c r="S14" s="700">
        <v>13</v>
      </c>
      <c r="T14" s="700">
        <v>10</v>
      </c>
      <c r="U14" s="700"/>
      <c r="V14" s="700"/>
      <c r="W14" s="700"/>
      <c r="X14" s="700"/>
      <c r="Y14" s="699"/>
    </row>
    <row r="15" spans="1:25 4305:4305" ht="20.100000000000001" customHeight="1" thickTop="1" thickBot="1" x14ac:dyDescent="0.25">
      <c r="B15" s="632"/>
      <c r="C15" s="592" t="s">
        <v>266</v>
      </c>
      <c r="D15" s="762" t="str">
        <f>IF(ROUND(1*(E5),1)&gt;100,"100 mg iv",ROUND(1*(E5),1)&amp;" mg iv")</f>
        <v>0 mg iv</v>
      </c>
      <c r="E15" s="580" t="str">
        <f>"= "&amp;IF(ROUND(1*(E5),1)&gt;100,"10 ml"&amp;" van een 1mg/ml oplossing",ROUND(0.1*(E5),1)&amp;" ml"&amp;" van een 10 mg/ml oplossing")</f>
        <v>= 0 ml van een 10 mg/ml oplossing</v>
      </c>
      <c r="F15" s="580"/>
      <c r="G15" s="763" t="s">
        <v>6</v>
      </c>
      <c r="H15" s="614"/>
      <c r="I15" s="614"/>
      <c r="J15" s="699"/>
      <c r="K15" s="699"/>
      <c r="L15" s="700">
        <v>13</v>
      </c>
      <c r="M15" s="700">
        <v>15</v>
      </c>
      <c r="N15" s="700">
        <v>7</v>
      </c>
      <c r="O15" s="700"/>
      <c r="P15" s="700"/>
      <c r="Q15" s="700"/>
      <c r="R15" s="700"/>
      <c r="S15" s="700">
        <v>14</v>
      </c>
      <c r="T15" s="700">
        <v>10</v>
      </c>
      <c r="U15" s="700"/>
      <c r="V15" s="700"/>
      <c r="W15" s="700"/>
      <c r="X15" s="700"/>
      <c r="Y15" s="699"/>
    </row>
    <row r="16" spans="1:25 4305:4305" ht="20.100000000000001" customHeight="1" thickTop="1" thickBot="1" x14ac:dyDescent="0.25">
      <c r="B16" s="632"/>
      <c r="C16" s="592" t="s">
        <v>317</v>
      </c>
      <c r="D16" s="762" t="str">
        <f>IF(ROUND(0.02*(E5),1)&lt;0.1,"0,1 mg iv",IF(ROUND(0.02*(E5),1)&gt;0.5,"0,5 mg iv",ROUND(0.02*(E5),1)&amp;" mg iv"))</f>
        <v>0,1 mg iv</v>
      </c>
      <c r="E16" s="885" t="str">
        <f>"= "&amp;IF(ROUND(0.02*(E5),1)&lt;0.1,0.1,IF(ROUND(0.02*(E5),1)&gt;0.5,0.5,ROUND(0.02*(E5),1)))*2&amp;" ml van 0,5 mg/ml (min 0,1 mg)"</f>
        <v>= 0.2 ml van 0,5 mg/ml (min 0,1 mg)</v>
      </c>
      <c r="F16" s="885"/>
      <c r="G16" s="763" t="s">
        <v>7</v>
      </c>
      <c r="H16" s="614"/>
      <c r="I16" s="614"/>
      <c r="J16" s="699"/>
      <c r="K16" s="699"/>
      <c r="L16" s="700">
        <v>14</v>
      </c>
      <c r="M16" s="700">
        <v>15</v>
      </c>
      <c r="N16" s="700">
        <v>7</v>
      </c>
      <c r="O16" s="700"/>
      <c r="P16" s="700"/>
      <c r="Q16" s="700"/>
      <c r="R16" s="700"/>
      <c r="S16" s="700">
        <v>15</v>
      </c>
      <c r="T16" s="700">
        <v>10</v>
      </c>
      <c r="U16" s="700"/>
      <c r="V16" s="700"/>
      <c r="W16" s="700"/>
      <c r="X16" s="700"/>
      <c r="Y16" s="699"/>
    </row>
    <row r="17" spans="2:25" ht="20.100000000000001" customHeight="1" thickTop="1" thickBot="1" x14ac:dyDescent="0.25">
      <c r="B17" s="632"/>
      <c r="C17" s="785"/>
      <c r="D17" s="764"/>
      <c r="E17" s="886"/>
      <c r="F17" s="886"/>
      <c r="G17" s="766"/>
      <c r="H17" s="614"/>
      <c r="I17" s="614"/>
      <c r="J17" s="699"/>
      <c r="K17" s="699"/>
      <c r="L17" s="700">
        <v>15</v>
      </c>
      <c r="M17" s="700">
        <v>15</v>
      </c>
      <c r="N17" s="700">
        <v>7</v>
      </c>
      <c r="O17" s="700"/>
      <c r="P17" s="700"/>
      <c r="Q17" s="700"/>
      <c r="R17" s="700"/>
      <c r="S17" s="700">
        <v>16</v>
      </c>
      <c r="T17" s="700">
        <v>20</v>
      </c>
      <c r="U17" s="700"/>
      <c r="V17" s="700"/>
      <c r="W17" s="700"/>
      <c r="X17" s="700"/>
      <c r="Y17" s="699"/>
    </row>
    <row r="18" spans="2:25" ht="15.75" customHeight="1" thickBot="1" x14ac:dyDescent="0.25">
      <c r="B18" s="662"/>
      <c r="C18" s="703"/>
      <c r="D18" s="610"/>
      <c r="E18" s="705"/>
      <c r="F18" s="705"/>
      <c r="G18" s="704"/>
      <c r="H18" s="706"/>
      <c r="I18" s="706"/>
      <c r="J18" s="707"/>
      <c r="K18" s="699"/>
      <c r="L18" s="700">
        <v>16</v>
      </c>
      <c r="M18" s="700">
        <v>15</v>
      </c>
      <c r="N18" s="700">
        <v>7</v>
      </c>
      <c r="O18" s="700"/>
      <c r="P18" s="700"/>
      <c r="Q18" s="700"/>
      <c r="R18" s="700"/>
      <c r="S18" s="700">
        <v>17</v>
      </c>
      <c r="T18" s="700">
        <v>20</v>
      </c>
      <c r="U18" s="700"/>
      <c r="V18" s="700"/>
      <c r="W18" s="700"/>
      <c r="X18" s="700"/>
      <c r="Y18" s="699"/>
    </row>
    <row r="19" spans="2:25" ht="20.100000000000001" customHeight="1" thickBot="1" x14ac:dyDescent="0.25">
      <c r="B19" s="632" t="s">
        <v>261</v>
      </c>
      <c r="C19" s="784" t="s">
        <v>91</v>
      </c>
      <c r="D19" s="759" t="str">
        <f>IF(0.02*E5&gt;0.3,"0,3 mg iv",0.02*E5&amp;" mg iv")</f>
        <v>0 mg iv</v>
      </c>
      <c r="E19" s="760" t="str">
        <f>"= "&amp;IF(0.02*E5&gt;1,"10 ml van anexate 0,1 mg/ml",ROUND((0.02*E5)/0.1,1)&amp;" ml van anexate 0,1 mg/ml")</f>
        <v>= 0 ml van anexate 0,1 mg/ml</v>
      </c>
      <c r="F19" s="760"/>
      <c r="G19" s="761" t="s">
        <v>8</v>
      </c>
      <c r="H19" s="706"/>
      <c r="I19" s="706"/>
      <c r="J19" s="707"/>
      <c r="K19" s="699"/>
      <c r="L19" s="700">
        <v>17</v>
      </c>
      <c r="M19" s="700">
        <v>15</v>
      </c>
      <c r="N19" s="700">
        <v>7</v>
      </c>
      <c r="O19" s="700"/>
      <c r="P19" s="700"/>
      <c r="Q19" s="700"/>
      <c r="R19" s="700"/>
      <c r="S19" s="700">
        <v>18</v>
      </c>
      <c r="T19" s="700">
        <v>20</v>
      </c>
      <c r="U19" s="700"/>
      <c r="V19" s="700"/>
      <c r="W19" s="700"/>
      <c r="X19" s="700"/>
      <c r="Y19" s="699"/>
    </row>
    <row r="20" spans="2:25" ht="20.100000000000001" customHeight="1" thickTop="1" thickBot="1" x14ac:dyDescent="0.25">
      <c r="B20" s="632"/>
      <c r="C20" s="592" t="s">
        <v>318</v>
      </c>
      <c r="D20" s="762" t="str">
        <f>IF(0.01*E5&gt;0.4,"0,4 mg iv",0.01*E5&amp;" mg iv")</f>
        <v>0 mg iv</v>
      </c>
      <c r="E20" s="885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85"/>
      <c r="G20" s="763" t="s">
        <v>9</v>
      </c>
      <c r="H20" s="614"/>
      <c r="I20" s="614"/>
      <c r="J20" s="699"/>
      <c r="K20" s="699"/>
      <c r="L20" s="700">
        <v>18</v>
      </c>
      <c r="M20" s="700">
        <v>15</v>
      </c>
      <c r="N20" s="700">
        <v>7</v>
      </c>
      <c r="O20" s="700"/>
      <c r="P20" s="700"/>
      <c r="Q20" s="700"/>
      <c r="R20" s="700"/>
      <c r="S20" s="700">
        <v>19</v>
      </c>
      <c r="T20" s="700">
        <v>20</v>
      </c>
      <c r="U20" s="700"/>
      <c r="V20" s="700"/>
      <c r="W20" s="700"/>
      <c r="X20" s="700"/>
      <c r="Y20" s="699"/>
    </row>
    <row r="21" spans="2:25" ht="20.100000000000001" customHeight="1" thickTop="1" thickBot="1" x14ac:dyDescent="0.25">
      <c r="B21" s="632"/>
      <c r="C21" s="785"/>
      <c r="D21" s="764"/>
      <c r="E21" s="886"/>
      <c r="F21" s="886"/>
      <c r="G21" s="766"/>
      <c r="H21" s="614"/>
      <c r="I21" s="614"/>
      <c r="J21" s="699"/>
      <c r="K21" s="699"/>
      <c r="L21" s="700"/>
      <c r="M21" s="700"/>
      <c r="N21" s="700"/>
      <c r="O21" s="700"/>
      <c r="P21" s="700"/>
      <c r="Q21" s="700"/>
      <c r="R21" s="700"/>
      <c r="S21" s="700">
        <v>20</v>
      </c>
      <c r="T21" s="700">
        <v>20</v>
      </c>
      <c r="U21" s="700">
        <v>20</v>
      </c>
      <c r="V21" s="700"/>
      <c r="W21" s="700"/>
      <c r="X21" s="700"/>
      <c r="Y21" s="699"/>
    </row>
    <row r="22" spans="2:25" ht="20.100000000000001" customHeight="1" thickBot="1" x14ac:dyDescent="0.25">
      <c r="B22" s="662"/>
      <c r="C22" s="703"/>
      <c r="D22" s="610"/>
      <c r="E22" s="705"/>
      <c r="F22" s="705"/>
      <c r="G22" s="704"/>
      <c r="H22" s="614"/>
      <c r="I22" s="614"/>
      <c r="J22" s="699"/>
      <c r="K22" s="699"/>
      <c r="L22" s="700"/>
      <c r="M22" s="700"/>
      <c r="N22" s="700"/>
      <c r="O22" s="700"/>
      <c r="P22" s="700"/>
      <c r="Q22" s="700"/>
      <c r="R22" s="700"/>
      <c r="S22" s="700">
        <v>21</v>
      </c>
      <c r="T22" s="700">
        <v>30</v>
      </c>
      <c r="U22" s="700"/>
      <c r="V22" s="700"/>
      <c r="W22" s="700"/>
      <c r="X22" s="700"/>
      <c r="Y22" s="699"/>
    </row>
    <row r="23" spans="2:25" ht="20.100000000000001" customHeight="1" thickBot="1" x14ac:dyDescent="0.25">
      <c r="B23" s="632" t="s">
        <v>262</v>
      </c>
      <c r="C23" s="784" t="str">
        <f ca="1">IF(C5=0,"alprostadil (Prostin)","")</f>
        <v/>
      </c>
      <c r="D23" s="759" t="str">
        <f ca="1">IF(C5=0,"0,5 mg in 50 ml NaCl 0.9%","")</f>
        <v/>
      </c>
      <c r="E23" s="760" t="str">
        <f ca="1">IF(C5=0,"1 ml/uur = "&amp;ROUND(1000*(0.5/50)*24/(E5)/1.44,0)&amp;" nanog/kg/min iv","")</f>
        <v/>
      </c>
      <c r="F23" s="760"/>
      <c r="G23" s="761" t="s">
        <v>311</v>
      </c>
      <c r="H23" s="614"/>
      <c r="I23" s="614"/>
      <c r="J23" s="699"/>
      <c r="K23" s="699"/>
      <c r="L23" s="700"/>
      <c r="M23" s="700"/>
      <c r="N23" s="700"/>
      <c r="O23" s="700"/>
      <c r="P23" s="700"/>
      <c r="Q23" s="700"/>
      <c r="R23" s="700"/>
      <c r="S23" s="700">
        <v>22</v>
      </c>
      <c r="T23" s="700">
        <v>30</v>
      </c>
      <c r="U23" s="700"/>
      <c r="V23" s="700"/>
      <c r="W23" s="700"/>
      <c r="X23" s="700"/>
      <c r="Y23" s="699"/>
    </row>
    <row r="24" spans="2:25" ht="20.100000000000001" customHeight="1" thickTop="1" thickBot="1" x14ac:dyDescent="0.25">
      <c r="B24" s="632"/>
      <c r="C24" s="592" t="s">
        <v>97</v>
      </c>
      <c r="D24" s="762" t="str">
        <f>IF(E5&gt;5,"200 mg in 50 ml NaCl 0.9%",ROUND(((E5)*24*60*(10/1000)/(24/50))/50,0)*50&amp;" mg in 50 ml NaCl 0.9%")</f>
        <v>0 mg in 50 ml NaCl 0.9%</v>
      </c>
      <c r="E24" s="580" t="str">
        <f>IF(_Pat_Gewicht&gt;0,"1 ml/uur = "&amp;IF(E5&gt;5,ROUND((200/50/E5/60)*1000,1),ROUND(24*ROUND(((E5)*24*60*(10/1000)/(24/50))/50,0)*50/50/1.44/E5,1))&amp;" mcg/kg/min","")</f>
        <v/>
      </c>
      <c r="F24" s="580"/>
      <c r="G24" s="763" t="s">
        <v>322</v>
      </c>
      <c r="H24" s="614"/>
      <c r="I24" s="614"/>
      <c r="J24" s="699"/>
      <c r="K24" s="699"/>
      <c r="L24" s="700"/>
      <c r="M24" s="700"/>
      <c r="N24" s="700"/>
      <c r="O24" s="700"/>
      <c r="P24" s="700"/>
      <c r="Q24" s="700"/>
      <c r="R24" s="700"/>
      <c r="S24" s="700">
        <v>23</v>
      </c>
      <c r="T24" s="700">
        <v>30</v>
      </c>
      <c r="U24" s="700"/>
      <c r="V24" s="700"/>
      <c r="W24" s="700"/>
      <c r="X24" s="700"/>
      <c r="Y24" s="699"/>
    </row>
    <row r="25" spans="2:25" ht="20.100000000000001" customHeight="1" thickTop="1" thickBot="1" x14ac:dyDescent="0.25">
      <c r="B25" s="632"/>
      <c r="C25" s="785" t="s">
        <v>98</v>
      </c>
      <c r="D25" s="764" t="str">
        <f>IF(_Pat_Gewicht/15&gt;5,"10 mg in 50 ml NaCl 0.9%",ROUND((E5)*24*60*(0.1/1000)/(24/50)/5,1)*5&amp;" mg in 50 ml NaCl 0.9%")</f>
        <v>0 mg in 50 ml NaCl 0.9%</v>
      </c>
      <c r="E25" s="765" t="str">
        <f>IF(_Pat_Gewicht&gt;0,"1 ml/uur = "&amp;IF(E5&gt;5,ROUND((10/50/E5/60)*1000,2),ROUND(24*ROUND((E5)*24*60*(0.1/1000)/(24/50)/5,1)*5/50/1.44/E5,2))&amp;" mcg/kg/min","")</f>
        <v/>
      </c>
      <c r="F25" s="765"/>
      <c r="G25" s="766" t="s">
        <v>382</v>
      </c>
      <c r="H25" s="614"/>
      <c r="I25" s="614"/>
      <c r="J25" s="699"/>
      <c r="K25" s="699"/>
      <c r="L25" s="700"/>
      <c r="M25" s="700"/>
      <c r="N25" s="700"/>
      <c r="O25" s="700"/>
      <c r="P25" s="700"/>
      <c r="Q25" s="700"/>
      <c r="R25" s="700"/>
      <c r="S25" s="700">
        <v>24</v>
      </c>
      <c r="T25" s="700">
        <v>30</v>
      </c>
      <c r="U25" s="700"/>
      <c r="V25" s="700"/>
      <c r="W25" s="700"/>
      <c r="X25" s="700"/>
      <c r="Y25" s="699"/>
    </row>
    <row r="26" spans="2:25" ht="20.100000000000001" customHeight="1" thickBot="1" x14ac:dyDescent="0.25">
      <c r="B26" s="662"/>
      <c r="C26" s="614"/>
      <c r="D26" s="610"/>
      <c r="E26" s="614"/>
      <c r="F26" s="614"/>
      <c r="G26" s="704"/>
      <c r="H26" s="614"/>
      <c r="I26" s="614"/>
      <c r="J26" s="699"/>
      <c r="K26" s="699"/>
      <c r="L26" s="700"/>
      <c r="M26" s="700"/>
      <c r="N26" s="700"/>
      <c r="O26" s="700"/>
      <c r="P26" s="700"/>
      <c r="Q26" s="700"/>
      <c r="R26" s="700"/>
      <c r="S26" s="700">
        <v>25</v>
      </c>
      <c r="T26" s="700">
        <v>30</v>
      </c>
      <c r="U26" s="700"/>
      <c r="V26" s="700"/>
      <c r="W26" s="700"/>
      <c r="X26" s="700"/>
      <c r="Y26" s="699"/>
    </row>
    <row r="27" spans="2:25" ht="20.100000000000001" customHeight="1" thickBot="1" x14ac:dyDescent="0.25">
      <c r="B27" s="883" t="s">
        <v>263</v>
      </c>
      <c r="C27" s="784" t="s">
        <v>423</v>
      </c>
      <c r="D27" s="759" t="str">
        <f>IF(ROUND(E5/2,0)*2&gt;50,"300 mg iv",ROUND(E5*5,0)&amp;" mg iv")</f>
        <v>0 mg iv</v>
      </c>
      <c r="E27" s="760" t="str">
        <f>IF(ROUND(E5/2,0)*2&gt;50,"6 ml van amiodarone 50 mg/ml iv",ROUND(E5*0.1,1)&amp;" ml van amiodarone 50 mg/ml iv")</f>
        <v>0 ml van amiodarone 50 mg/ml iv</v>
      </c>
      <c r="F27" s="760"/>
      <c r="G27" s="761" t="s">
        <v>10</v>
      </c>
      <c r="H27" s="614"/>
      <c r="I27" s="614"/>
      <c r="J27" s="699"/>
      <c r="K27" s="699"/>
      <c r="L27" s="700"/>
      <c r="M27" s="700"/>
      <c r="N27" s="700"/>
      <c r="O27" s="700"/>
      <c r="P27" s="700"/>
      <c r="Q27" s="700"/>
      <c r="R27" s="700"/>
      <c r="S27" s="700">
        <v>26</v>
      </c>
      <c r="T27" s="700">
        <v>30</v>
      </c>
      <c r="U27" s="700"/>
      <c r="V27" s="700"/>
      <c r="W27" s="700"/>
      <c r="X27" s="700"/>
      <c r="Y27" s="699"/>
    </row>
    <row r="28" spans="2:25" ht="20.100000000000001" customHeight="1" thickTop="1" thickBot="1" x14ac:dyDescent="0.25">
      <c r="B28" s="884"/>
      <c r="C28" s="785" t="s">
        <v>306</v>
      </c>
      <c r="D28" s="764" t="str">
        <f>IF(E5/10&gt;10,"10 ml iv",E5/10 &amp;" ml iv")</f>
        <v>0 ml iv</v>
      </c>
      <c r="E28" s="765" t="s">
        <v>231</v>
      </c>
      <c r="F28" s="765"/>
      <c r="G28" s="766" t="s">
        <v>11</v>
      </c>
      <c r="H28" s="614"/>
      <c r="I28" s="614"/>
      <c r="J28" s="699"/>
      <c r="K28" s="699"/>
      <c r="L28" s="700"/>
      <c r="M28" s="700"/>
      <c r="N28" s="700"/>
      <c r="O28" s="700"/>
      <c r="P28" s="700"/>
      <c r="Q28" s="700"/>
      <c r="R28" s="700"/>
      <c r="S28" s="700">
        <v>27</v>
      </c>
      <c r="T28" s="700">
        <v>30</v>
      </c>
      <c r="U28" s="700"/>
      <c r="V28" s="700"/>
      <c r="W28" s="700"/>
      <c r="X28" s="700"/>
      <c r="Y28" s="699"/>
    </row>
    <row r="29" spans="2:25" ht="20.100000000000001" customHeight="1" thickBot="1" x14ac:dyDescent="0.25">
      <c r="B29" s="662"/>
      <c r="C29" s="614"/>
      <c r="D29" s="610"/>
      <c r="E29" s="614"/>
      <c r="F29" s="614"/>
      <c r="G29" s="704"/>
      <c r="H29" s="614"/>
      <c r="I29" s="614"/>
      <c r="J29" s="699"/>
      <c r="K29" s="699"/>
      <c r="L29" s="700"/>
      <c r="M29" s="700"/>
      <c r="N29" s="700"/>
      <c r="O29" s="700"/>
      <c r="P29" s="700"/>
      <c r="Q29" s="700"/>
      <c r="R29" s="700"/>
      <c r="S29" s="700">
        <v>28</v>
      </c>
      <c r="T29" s="700">
        <v>30</v>
      </c>
      <c r="U29" s="700"/>
      <c r="V29" s="700"/>
      <c r="W29" s="700"/>
      <c r="X29" s="700"/>
      <c r="Y29" s="699"/>
    </row>
    <row r="30" spans="2:25" ht="20.100000000000001" customHeight="1" thickBot="1" x14ac:dyDescent="0.25">
      <c r="B30" s="882" t="s">
        <v>85</v>
      </c>
      <c r="C30" s="784" t="s">
        <v>99</v>
      </c>
      <c r="D30" s="759" t="str">
        <f>IF((0.5*E5)&gt;10,"10 mg rect",(0.5*E5)&amp;" mg rect")</f>
        <v>0 mg rect</v>
      </c>
      <c r="E30" s="760" t="str">
        <f>"= "&amp;IF((0.5*E5)&gt;10,"5 ml van diazepam 2 mg/ml",ROUND((0.5*E5)/2,1)&amp;" ml van diazepam 2 mg/ml")</f>
        <v>= 0 ml van diazepam 2 mg/ml</v>
      </c>
      <c r="F30" s="760"/>
      <c r="G30" s="761" t="s">
        <v>12</v>
      </c>
      <c r="H30" s="614"/>
      <c r="I30" s="614"/>
      <c r="J30" s="699"/>
      <c r="K30" s="699"/>
      <c r="L30" s="700"/>
      <c r="M30" s="700"/>
      <c r="N30" s="700"/>
      <c r="O30" s="700"/>
      <c r="P30" s="700"/>
      <c r="Q30" s="700"/>
      <c r="R30" s="700"/>
      <c r="S30" s="700">
        <v>29</v>
      </c>
      <c r="T30" s="700">
        <v>30</v>
      </c>
      <c r="U30" s="700"/>
      <c r="V30" s="700"/>
      <c r="W30" s="700"/>
      <c r="X30" s="700"/>
      <c r="Y30" s="699"/>
    </row>
    <row r="31" spans="2:25" ht="20.100000000000001" customHeight="1" thickTop="1" thickBot="1" x14ac:dyDescent="0.25">
      <c r="B31" s="882"/>
      <c r="C31" s="592" t="s">
        <v>265</v>
      </c>
      <c r="D31" s="762" t="str">
        <f>IF((20*E5)&gt;1500,"1500 mg iv",20*E5&amp;" mg iv")</f>
        <v>0 mg iv</v>
      </c>
      <c r="E31" s="885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85"/>
      <c r="G31" s="767" t="s">
        <v>29</v>
      </c>
      <c r="H31" s="614"/>
      <c r="I31" s="614"/>
      <c r="J31" s="699"/>
      <c r="L31" s="700"/>
      <c r="M31" s="700"/>
      <c r="N31" s="700"/>
      <c r="O31" s="700"/>
      <c r="P31" s="700"/>
      <c r="Q31" s="700"/>
      <c r="R31" s="700"/>
      <c r="S31" s="700">
        <v>30</v>
      </c>
      <c r="T31" s="700">
        <v>30</v>
      </c>
      <c r="U31" s="700">
        <v>30</v>
      </c>
      <c r="V31" s="700"/>
      <c r="W31" s="700"/>
      <c r="X31" s="700"/>
      <c r="Y31" s="699"/>
    </row>
    <row r="32" spans="2:25" ht="20.100000000000001" customHeight="1" thickTop="1" thickBot="1" x14ac:dyDescent="0.25">
      <c r="B32" s="632"/>
      <c r="C32" s="592"/>
      <c r="D32" s="762"/>
      <c r="E32" s="885"/>
      <c r="F32" s="885"/>
      <c r="G32" s="763"/>
      <c r="H32" s="614"/>
      <c r="I32" s="614"/>
      <c r="L32" s="700"/>
      <c r="M32" s="700"/>
      <c r="N32" s="700"/>
      <c r="O32" s="700"/>
      <c r="P32" s="700"/>
      <c r="Q32" s="700"/>
      <c r="R32" s="700"/>
      <c r="S32" s="700">
        <v>31</v>
      </c>
      <c r="T32" s="700">
        <v>50</v>
      </c>
      <c r="U32" s="700"/>
      <c r="V32" s="700"/>
      <c r="W32" s="700"/>
      <c r="X32" s="700"/>
      <c r="Y32" s="699"/>
    </row>
    <row r="33" spans="2:25" ht="12.75" customHeight="1" thickTop="1" thickBot="1" x14ac:dyDescent="0.25">
      <c r="B33" s="632"/>
      <c r="C33" s="785" t="s">
        <v>349</v>
      </c>
      <c r="D33" s="764" t="str">
        <f>IF((0.1*E5)&gt;10,"10 mg iv",0.1*E5&amp;" mg iv")</f>
        <v>0 mg iv</v>
      </c>
      <c r="E33" s="765" t="str">
        <f>"= "&amp;IF((0.1*E5)&gt;15,10,ROUND((0.1*E5),1))&amp;" ml van dormicum 1 mg/ml iv"</f>
        <v>= 0 ml van dormicum 1 mg/ml iv</v>
      </c>
      <c r="F33" s="765"/>
      <c r="G33" s="768" t="s">
        <v>13</v>
      </c>
      <c r="H33" s="614"/>
      <c r="I33" s="614"/>
      <c r="L33" s="700"/>
      <c r="M33" s="700"/>
      <c r="N33" s="700"/>
      <c r="O33" s="700"/>
      <c r="P33" s="700"/>
      <c r="Q33" s="700"/>
      <c r="R33" s="700"/>
      <c r="S33" s="700">
        <v>32</v>
      </c>
      <c r="T33" s="700">
        <v>50</v>
      </c>
      <c r="U33" s="700"/>
      <c r="V33" s="700"/>
      <c r="W33" s="700"/>
      <c r="X33" s="700"/>
      <c r="Y33" s="699"/>
    </row>
    <row r="34" spans="2:25" ht="13.5" customHeight="1" thickBot="1" x14ac:dyDescent="0.25">
      <c r="B34" s="662"/>
      <c r="C34" s="614"/>
      <c r="D34" s="610"/>
      <c r="E34" s="614"/>
      <c r="F34" s="614"/>
      <c r="G34" s="708"/>
      <c r="H34" s="614"/>
      <c r="I34" s="614"/>
      <c r="L34" s="700"/>
      <c r="M34" s="700"/>
      <c r="N34" s="700"/>
      <c r="O34" s="700"/>
      <c r="P34" s="700"/>
      <c r="Q34" s="700"/>
      <c r="R34" s="700"/>
      <c r="S34" s="700">
        <v>33</v>
      </c>
      <c r="T34" s="700">
        <v>50</v>
      </c>
      <c r="U34" s="700"/>
      <c r="V34" s="700"/>
      <c r="W34" s="700"/>
      <c r="X34" s="700"/>
      <c r="Y34" s="699"/>
    </row>
    <row r="35" spans="2:25" ht="19.5" customHeight="1" thickBot="1" x14ac:dyDescent="0.25">
      <c r="B35" s="632" t="s">
        <v>86</v>
      </c>
      <c r="C35" s="784" t="s">
        <v>394</v>
      </c>
      <c r="D35" s="759" t="str">
        <f>IF(1*(E5&gt;25),"25 mg iv",1*(E5)&amp;" mg iv")</f>
        <v>0 mg iv</v>
      </c>
      <c r="E35" s="760"/>
      <c r="F35" s="760"/>
      <c r="G35" s="761" t="s">
        <v>14</v>
      </c>
      <c r="H35" s="614"/>
      <c r="I35" s="614"/>
      <c r="L35" s="700"/>
      <c r="M35" s="700"/>
      <c r="N35" s="700"/>
      <c r="O35" s="700"/>
      <c r="P35" s="700"/>
      <c r="Q35" s="700"/>
      <c r="R35" s="700"/>
      <c r="S35" s="700">
        <v>34</v>
      </c>
      <c r="T35" s="700">
        <v>50</v>
      </c>
      <c r="U35" s="700"/>
      <c r="V35" s="700"/>
      <c r="W35" s="700"/>
      <c r="X35" s="700"/>
      <c r="Y35" s="699"/>
    </row>
    <row r="36" spans="2:25" ht="19.5" customHeight="1" thickTop="1" thickBot="1" x14ac:dyDescent="0.25">
      <c r="B36" s="632"/>
      <c r="C36" s="785" t="s">
        <v>100</v>
      </c>
      <c r="D36" s="764" t="str">
        <f>IF(ROUND((0.5*E5),1)&gt;50,"50 gram iv",ROUND((0.5*E5),1)&amp;" gram iv")</f>
        <v>0 gram iv</v>
      </c>
      <c r="E36" s="765" t="str">
        <f>"= "&amp;IF(ROUND((0.5*E5),1)&gt;50,ROUND(50/0.15,0),ROUND((0.5*E5)/0.15,0))&amp;" ml van mannitol 15% in 30 min iv"</f>
        <v>= 0 ml van mannitol 15% in 30 min iv</v>
      </c>
      <c r="F36" s="765"/>
      <c r="G36" s="766" t="s">
        <v>15</v>
      </c>
      <c r="H36" s="614"/>
      <c r="I36" s="614"/>
      <c r="L36" s="700"/>
      <c r="M36" s="700"/>
      <c r="N36" s="700"/>
      <c r="O36" s="700"/>
      <c r="P36" s="700"/>
      <c r="Q36" s="700"/>
      <c r="R36" s="700"/>
      <c r="S36" s="700">
        <v>35</v>
      </c>
      <c r="T36" s="700">
        <v>50</v>
      </c>
      <c r="U36" s="700"/>
      <c r="V36" s="700"/>
      <c r="W36" s="700"/>
      <c r="X36" s="700"/>
      <c r="Y36" s="699"/>
    </row>
    <row r="37" spans="2:25" ht="25.5" customHeight="1" thickBot="1" x14ac:dyDescent="0.25">
      <c r="B37" s="662"/>
      <c r="C37" s="614"/>
      <c r="D37" s="610"/>
      <c r="E37" s="614"/>
      <c r="F37" s="614"/>
      <c r="G37" s="709"/>
      <c r="H37" s="614"/>
      <c r="I37" s="614"/>
      <c r="L37" s="700"/>
      <c r="M37" s="700"/>
      <c r="N37" s="700"/>
      <c r="O37" s="700"/>
      <c r="P37" s="700"/>
      <c r="Q37" s="700"/>
      <c r="R37" s="700"/>
      <c r="S37" s="700">
        <v>36</v>
      </c>
      <c r="T37" s="700">
        <v>50</v>
      </c>
      <c r="U37" s="700"/>
      <c r="V37" s="700"/>
      <c r="W37" s="700"/>
      <c r="X37" s="700"/>
      <c r="Y37" s="699"/>
    </row>
    <row r="38" spans="2:25" ht="19.5" customHeight="1" thickBot="1" x14ac:dyDescent="0.25">
      <c r="B38" s="632" t="s">
        <v>101</v>
      </c>
      <c r="C38" s="786" t="s">
        <v>290</v>
      </c>
      <c r="D38" s="759" t="str">
        <f ca="1">"AMV "&amp;ROUND(E5*8*VLOOKUP(C5,L2:M20,2)/1000,1)&amp;" L/min"</f>
        <v>AMV 0 L/min</v>
      </c>
      <c r="E38" s="760"/>
      <c r="F38" s="760" t="s">
        <v>102</v>
      </c>
      <c r="G38" s="769"/>
      <c r="H38" s="614"/>
      <c r="I38" s="614"/>
      <c r="L38" s="700"/>
      <c r="M38" s="700"/>
      <c r="N38" s="700"/>
      <c r="O38" s="700"/>
      <c r="P38" s="700"/>
      <c r="Q38" s="700"/>
      <c r="R38" s="700"/>
      <c r="S38" s="700"/>
      <c r="T38" s="700"/>
      <c r="U38" s="700"/>
      <c r="V38" s="700"/>
      <c r="W38" s="700"/>
      <c r="X38" s="700"/>
      <c r="Y38" s="699"/>
    </row>
    <row r="39" spans="2:25" ht="19.5" customHeight="1" thickTop="1" thickBot="1" x14ac:dyDescent="0.25">
      <c r="B39" s="632"/>
      <c r="C39" s="592"/>
      <c r="D39" s="762" t="str">
        <f ca="1">"frequentie "&amp;VLOOKUP(C5,L2:M20,2)&amp;"/min"</f>
        <v>frequentie 15/min</v>
      </c>
      <c r="E39" s="580"/>
      <c r="F39" s="580" t="s">
        <v>103</v>
      </c>
      <c r="G39" s="581"/>
      <c r="H39" s="614"/>
      <c r="I39" s="614"/>
      <c r="L39" s="700"/>
      <c r="M39" s="700"/>
      <c r="N39" s="700"/>
      <c r="O39" s="700"/>
      <c r="P39" s="700"/>
      <c r="Q39" s="700"/>
      <c r="R39" s="700"/>
      <c r="S39" s="700">
        <v>37</v>
      </c>
      <c r="T39" s="700">
        <v>50</v>
      </c>
      <c r="U39" s="700"/>
      <c r="V39" s="700"/>
      <c r="W39" s="700"/>
      <c r="X39" s="700"/>
      <c r="Y39" s="699"/>
    </row>
    <row r="40" spans="2:25" ht="19.5" customHeight="1" thickTop="1" thickBot="1" x14ac:dyDescent="0.25">
      <c r="B40" s="632"/>
      <c r="C40" s="592"/>
      <c r="D40" s="762" t="s">
        <v>424</v>
      </c>
      <c r="E40" s="580"/>
      <c r="F40" s="580" t="s">
        <v>412</v>
      </c>
      <c r="G40" s="581"/>
      <c r="H40" s="614"/>
      <c r="I40" s="614"/>
      <c r="L40" s="700"/>
      <c r="M40" s="700"/>
      <c r="N40" s="700"/>
      <c r="O40" s="700"/>
      <c r="P40" s="700"/>
      <c r="Q40" s="700"/>
      <c r="R40" s="700"/>
      <c r="S40" s="700">
        <v>38</v>
      </c>
      <c r="T40" s="700">
        <v>50</v>
      </c>
      <c r="U40" s="700"/>
      <c r="V40" s="700"/>
      <c r="W40" s="700"/>
      <c r="X40" s="700"/>
      <c r="Y40" s="699"/>
    </row>
    <row r="41" spans="2:25" ht="19.5" customHeight="1" thickTop="1" thickBot="1" x14ac:dyDescent="0.25">
      <c r="B41" s="632"/>
      <c r="C41" s="592"/>
      <c r="D41" s="762" t="s">
        <v>413</v>
      </c>
      <c r="E41" s="580"/>
      <c r="F41" s="580"/>
      <c r="G41" s="581"/>
      <c r="H41" s="614"/>
      <c r="I41" s="614"/>
      <c r="L41" s="700"/>
      <c r="M41" s="700"/>
      <c r="N41" s="700"/>
      <c r="O41" s="700"/>
      <c r="P41" s="700"/>
      <c r="Q41" s="700"/>
      <c r="R41" s="700"/>
      <c r="S41" s="700">
        <v>39</v>
      </c>
      <c r="T41" s="700">
        <v>50</v>
      </c>
      <c r="U41" s="700"/>
      <c r="V41" s="700"/>
      <c r="W41" s="700"/>
      <c r="X41" s="700"/>
      <c r="Y41" s="699"/>
    </row>
    <row r="42" spans="2:25" ht="19.5" customHeight="1" thickTop="1" thickBot="1" x14ac:dyDescent="0.25">
      <c r="B42" s="632"/>
      <c r="C42" s="785"/>
      <c r="D42" s="764"/>
      <c r="E42" s="765"/>
      <c r="F42" s="765"/>
      <c r="G42" s="770"/>
      <c r="H42" s="614"/>
      <c r="I42" s="614"/>
      <c r="L42" s="700"/>
      <c r="M42" s="700"/>
      <c r="N42" s="700"/>
      <c r="O42" s="700"/>
      <c r="P42" s="700"/>
      <c r="Q42" s="700"/>
      <c r="R42" s="700"/>
      <c r="S42" s="700">
        <v>40</v>
      </c>
      <c r="T42" s="700">
        <v>50</v>
      </c>
      <c r="U42" s="700"/>
      <c r="V42" s="700"/>
      <c r="W42" s="700"/>
      <c r="X42" s="700"/>
      <c r="Y42" s="699"/>
    </row>
    <row r="43" spans="2:25" ht="19.5" customHeight="1" x14ac:dyDescent="0.2">
      <c r="C43" s="614"/>
      <c r="D43" s="614"/>
      <c r="E43" s="614"/>
      <c r="F43" s="614"/>
      <c r="G43" s="614"/>
      <c r="H43" s="614"/>
      <c r="I43" s="614"/>
      <c r="L43" s="700"/>
      <c r="M43" s="700"/>
      <c r="N43" s="700"/>
      <c r="O43" s="700"/>
      <c r="P43" s="700"/>
      <c r="Q43" s="700"/>
      <c r="R43" s="700"/>
      <c r="S43" s="700">
        <v>41</v>
      </c>
      <c r="T43" s="700">
        <v>50</v>
      </c>
      <c r="U43" s="700"/>
      <c r="V43" s="700"/>
      <c r="W43" s="700"/>
      <c r="X43" s="700"/>
      <c r="Y43" s="699"/>
    </row>
    <row r="44" spans="2:25" ht="19.5" customHeight="1" x14ac:dyDescent="0.2">
      <c r="B44" s="638" t="s">
        <v>79</v>
      </c>
      <c r="C44" s="758"/>
      <c r="D44" s="614"/>
      <c r="E44" s="614"/>
      <c r="F44" s="614"/>
      <c r="G44" s="614"/>
      <c r="H44" s="614"/>
      <c r="I44" s="614"/>
      <c r="L44" s="700"/>
      <c r="M44" s="700"/>
      <c r="N44" s="700"/>
      <c r="O44" s="700"/>
      <c r="P44" s="700"/>
      <c r="Q44" s="700"/>
      <c r="R44" s="700"/>
      <c r="S44" s="700">
        <v>42</v>
      </c>
      <c r="T44" s="700">
        <v>50</v>
      </c>
      <c r="U44" s="700"/>
      <c r="V44" s="700"/>
      <c r="W44" s="700"/>
      <c r="X44" s="700"/>
      <c r="Y44" s="699"/>
    </row>
    <row r="45" spans="2:25" ht="19.5" customHeight="1" x14ac:dyDescent="0.2">
      <c r="B45" s="662"/>
      <c r="C45" s="614"/>
      <c r="D45" s="614"/>
      <c r="E45" s="614"/>
      <c r="F45" s="614"/>
      <c r="G45" s="614"/>
      <c r="H45" s="614"/>
      <c r="I45" s="614"/>
      <c r="L45" s="700"/>
      <c r="M45" s="700"/>
      <c r="N45" s="700"/>
      <c r="O45" s="700"/>
      <c r="P45" s="700"/>
      <c r="Q45" s="700"/>
      <c r="R45" s="700"/>
      <c r="S45" s="700">
        <v>43</v>
      </c>
      <c r="T45" s="700">
        <v>50</v>
      </c>
      <c r="U45" s="700"/>
      <c r="V45" s="700"/>
      <c r="W45" s="700"/>
      <c r="X45" s="700"/>
      <c r="Y45" s="699"/>
    </row>
    <row r="46" spans="2:25" ht="19.5" customHeight="1" x14ac:dyDescent="0.2">
      <c r="B46" s="662"/>
      <c r="C46" s="614"/>
      <c r="D46" s="614"/>
      <c r="E46" s="614"/>
      <c r="F46" s="614"/>
      <c r="G46" s="614"/>
      <c r="H46" s="614"/>
      <c r="I46" s="614"/>
      <c r="L46" s="700"/>
      <c r="M46" s="700"/>
      <c r="N46" s="700"/>
      <c r="O46" s="700"/>
      <c r="P46" s="700"/>
      <c r="Q46" s="700"/>
      <c r="R46" s="700"/>
      <c r="S46" s="700">
        <v>44</v>
      </c>
      <c r="T46" s="700">
        <v>50</v>
      </c>
      <c r="U46" s="700"/>
      <c r="V46" s="700"/>
      <c r="W46" s="700"/>
      <c r="X46" s="700"/>
      <c r="Y46" s="699"/>
    </row>
    <row r="47" spans="2:25" x14ac:dyDescent="0.2">
      <c r="B47" s="662"/>
      <c r="C47" s="614"/>
      <c r="D47" s="614"/>
      <c r="E47" s="614"/>
      <c r="F47" s="614"/>
      <c r="G47" s="614"/>
      <c r="H47" s="614"/>
      <c r="I47" s="614"/>
      <c r="L47" s="700"/>
      <c r="M47" s="700"/>
      <c r="N47" s="700"/>
      <c r="O47" s="700"/>
      <c r="P47" s="700"/>
      <c r="Q47" s="700"/>
      <c r="R47" s="700"/>
      <c r="S47" s="700">
        <v>45</v>
      </c>
      <c r="T47" s="700">
        <v>50</v>
      </c>
      <c r="U47" s="700"/>
      <c r="V47" s="700"/>
      <c r="W47" s="700"/>
      <c r="X47" s="700"/>
      <c r="Y47" s="699"/>
    </row>
    <row r="48" spans="2:25" x14ac:dyDescent="0.2">
      <c r="B48" s="662"/>
      <c r="C48" s="614"/>
      <c r="D48" s="614"/>
      <c r="E48" s="614"/>
      <c r="F48" s="614"/>
      <c r="G48" s="614"/>
      <c r="H48" s="614"/>
      <c r="I48" s="614"/>
      <c r="L48" s="700"/>
      <c r="M48" s="700"/>
      <c r="N48" s="700"/>
      <c r="O48" s="700"/>
      <c r="P48" s="700"/>
      <c r="Q48" s="700"/>
      <c r="R48" s="700"/>
      <c r="S48" s="700">
        <v>46</v>
      </c>
      <c r="T48" s="700">
        <v>50</v>
      </c>
      <c r="U48" s="700"/>
      <c r="V48" s="700"/>
      <c r="W48" s="700"/>
      <c r="X48" s="700"/>
      <c r="Y48" s="699"/>
    </row>
    <row r="49" spans="2:25" x14ac:dyDescent="0.2">
      <c r="B49" s="662"/>
      <c r="C49" s="614"/>
      <c r="D49" s="614"/>
      <c r="E49" s="614"/>
      <c r="F49" s="614"/>
      <c r="G49" s="614"/>
      <c r="H49" s="614"/>
      <c r="I49" s="614"/>
      <c r="L49" s="700"/>
      <c r="M49" s="700"/>
      <c r="N49" s="700"/>
      <c r="O49" s="700"/>
      <c r="P49" s="700"/>
      <c r="Q49" s="700"/>
      <c r="R49" s="700"/>
      <c r="S49" s="700">
        <v>47</v>
      </c>
      <c r="T49" s="700">
        <v>50</v>
      </c>
      <c r="U49" s="700"/>
      <c r="V49" s="700"/>
      <c r="W49" s="700"/>
      <c r="X49" s="700"/>
      <c r="Y49" s="699"/>
    </row>
    <row r="50" spans="2:25" x14ac:dyDescent="0.2">
      <c r="B50" s="662"/>
      <c r="C50" s="614"/>
      <c r="D50" s="614"/>
      <c r="E50" s="614"/>
      <c r="F50" s="614"/>
      <c r="G50" s="614"/>
      <c r="H50" s="614"/>
      <c r="I50" s="614"/>
      <c r="L50" s="700"/>
      <c r="M50" s="700"/>
      <c r="N50" s="700"/>
      <c r="O50" s="700"/>
      <c r="P50" s="700"/>
      <c r="Q50" s="700"/>
      <c r="R50" s="700"/>
      <c r="S50" s="700">
        <v>48</v>
      </c>
      <c r="T50" s="700">
        <v>50</v>
      </c>
      <c r="U50" s="700"/>
      <c r="V50" s="700"/>
      <c r="W50" s="700"/>
      <c r="X50" s="700"/>
      <c r="Y50" s="699"/>
    </row>
    <row r="51" spans="2:25" x14ac:dyDescent="0.2">
      <c r="B51" s="662"/>
      <c r="C51" s="614"/>
      <c r="D51" s="614"/>
      <c r="E51" s="614"/>
      <c r="F51" s="614"/>
      <c r="G51" s="614"/>
      <c r="H51" s="614"/>
      <c r="I51" s="614"/>
      <c r="L51" s="700"/>
      <c r="M51" s="700"/>
      <c r="N51" s="700"/>
      <c r="O51" s="700"/>
      <c r="P51" s="700"/>
      <c r="Q51" s="700"/>
      <c r="R51" s="700"/>
      <c r="S51" s="700">
        <v>49</v>
      </c>
      <c r="T51" s="700">
        <v>50</v>
      </c>
      <c r="U51" s="700"/>
      <c r="V51" s="700"/>
      <c r="W51" s="700"/>
      <c r="X51" s="700"/>
      <c r="Y51" s="699"/>
    </row>
    <row r="52" spans="2:25" x14ac:dyDescent="0.2">
      <c r="B52" s="662"/>
      <c r="C52" s="614"/>
      <c r="D52" s="614"/>
      <c r="E52" s="614"/>
      <c r="F52" s="614"/>
      <c r="G52" s="614"/>
      <c r="H52" s="614"/>
      <c r="I52" s="614"/>
      <c r="L52" s="700"/>
      <c r="M52" s="700"/>
      <c r="N52" s="700"/>
      <c r="O52" s="700"/>
      <c r="P52" s="700"/>
      <c r="Q52" s="700"/>
      <c r="R52" s="700"/>
      <c r="S52" s="700">
        <v>50</v>
      </c>
      <c r="T52" s="700">
        <v>50</v>
      </c>
      <c r="U52" s="700">
        <v>50</v>
      </c>
      <c r="V52" s="700"/>
      <c r="W52" s="700"/>
      <c r="X52" s="700"/>
      <c r="Y52" s="699"/>
    </row>
    <row r="53" spans="2:25" x14ac:dyDescent="0.2">
      <c r="B53" s="662"/>
      <c r="C53" s="614"/>
      <c r="D53" s="614"/>
      <c r="E53" s="614"/>
      <c r="F53" s="614"/>
      <c r="G53" s="614"/>
      <c r="H53" s="614"/>
      <c r="I53" s="614"/>
      <c r="L53" s="700"/>
      <c r="M53" s="700"/>
      <c r="N53" s="700"/>
      <c r="O53" s="700"/>
      <c r="P53" s="700"/>
      <c r="Q53" s="700"/>
      <c r="R53" s="700"/>
      <c r="S53" s="700">
        <v>51</v>
      </c>
      <c r="T53" s="700">
        <v>70</v>
      </c>
      <c r="U53" s="700"/>
      <c r="V53" s="700"/>
      <c r="W53" s="700"/>
      <c r="X53" s="700"/>
      <c r="Y53" s="699"/>
    </row>
    <row r="54" spans="2:25" x14ac:dyDescent="0.2">
      <c r="B54" s="662"/>
      <c r="C54" s="614"/>
      <c r="D54" s="614"/>
      <c r="E54" s="614"/>
      <c r="F54" s="614"/>
      <c r="G54" s="614"/>
      <c r="H54" s="614"/>
      <c r="I54" s="614"/>
      <c r="L54" s="700"/>
      <c r="M54" s="700"/>
      <c r="N54" s="700"/>
      <c r="O54" s="700"/>
      <c r="P54" s="700"/>
      <c r="Q54" s="700"/>
      <c r="R54" s="700"/>
      <c r="S54" s="700">
        <v>52</v>
      </c>
      <c r="T54" s="700">
        <v>70</v>
      </c>
      <c r="U54" s="700"/>
      <c r="V54" s="700"/>
      <c r="W54" s="700"/>
      <c r="X54" s="700"/>
      <c r="Y54" s="699"/>
    </row>
    <row r="55" spans="2:25" x14ac:dyDescent="0.2">
      <c r="B55" s="662"/>
      <c r="C55" s="614"/>
      <c r="D55" s="614"/>
      <c r="E55" s="614"/>
      <c r="F55" s="614"/>
      <c r="G55" s="614"/>
      <c r="H55" s="614"/>
      <c r="I55" s="614"/>
      <c r="L55" s="700"/>
      <c r="M55" s="700"/>
      <c r="N55" s="700"/>
      <c r="O55" s="700"/>
      <c r="P55" s="700"/>
      <c r="Q55" s="700"/>
      <c r="R55" s="700"/>
      <c r="S55" s="700">
        <v>53</v>
      </c>
      <c r="T55" s="700">
        <v>70</v>
      </c>
      <c r="U55" s="700"/>
      <c r="V55" s="700"/>
      <c r="W55" s="700"/>
      <c r="X55" s="700"/>
      <c r="Y55" s="699"/>
    </row>
    <row r="56" spans="2:25" x14ac:dyDescent="0.2">
      <c r="B56" s="662"/>
      <c r="C56" s="614"/>
      <c r="D56" s="614"/>
      <c r="E56" s="614"/>
      <c r="F56" s="614"/>
      <c r="G56" s="614"/>
      <c r="H56" s="614"/>
      <c r="I56" s="614"/>
      <c r="L56" s="700"/>
      <c r="M56" s="700"/>
      <c r="N56" s="700"/>
      <c r="O56" s="700"/>
      <c r="P56" s="700"/>
      <c r="Q56" s="700"/>
      <c r="R56" s="700"/>
      <c r="S56" s="700">
        <v>54</v>
      </c>
      <c r="T56" s="700">
        <v>70</v>
      </c>
      <c r="U56" s="700"/>
      <c r="V56" s="700"/>
      <c r="W56" s="700"/>
      <c r="X56" s="700"/>
      <c r="Y56" s="699"/>
    </row>
    <row r="57" spans="2:25" x14ac:dyDescent="0.2">
      <c r="B57" s="662"/>
      <c r="C57" s="614"/>
      <c r="D57" s="614"/>
      <c r="E57" s="614"/>
      <c r="F57" s="614"/>
      <c r="G57" s="614"/>
      <c r="H57" s="614"/>
      <c r="I57" s="614"/>
      <c r="L57" s="700"/>
      <c r="M57" s="700"/>
      <c r="N57" s="700"/>
      <c r="O57" s="700"/>
      <c r="P57" s="700"/>
      <c r="Q57" s="700"/>
      <c r="R57" s="700"/>
      <c r="S57" s="700">
        <v>55</v>
      </c>
      <c r="T57" s="700">
        <v>70</v>
      </c>
      <c r="U57" s="700"/>
      <c r="V57" s="700"/>
      <c r="W57" s="700"/>
      <c r="X57" s="700"/>
      <c r="Y57" s="699"/>
    </row>
    <row r="58" spans="2:25" x14ac:dyDescent="0.2">
      <c r="B58" s="662"/>
      <c r="C58" s="614"/>
      <c r="D58" s="614"/>
      <c r="E58" s="614"/>
      <c r="F58" s="614"/>
      <c r="G58" s="614"/>
      <c r="H58" s="614"/>
      <c r="I58" s="614"/>
      <c r="L58" s="700"/>
      <c r="M58" s="700"/>
      <c r="N58" s="700"/>
      <c r="O58" s="700"/>
      <c r="P58" s="700"/>
      <c r="Q58" s="700"/>
      <c r="R58" s="700"/>
      <c r="S58" s="700">
        <v>56</v>
      </c>
      <c r="T58" s="700">
        <v>70</v>
      </c>
      <c r="U58" s="700"/>
      <c r="V58" s="700"/>
      <c r="W58" s="700"/>
      <c r="X58" s="700"/>
      <c r="Y58" s="699"/>
    </row>
    <row r="59" spans="2:25" x14ac:dyDescent="0.2">
      <c r="B59" s="662"/>
      <c r="C59" s="614"/>
      <c r="D59" s="614"/>
      <c r="E59" s="614"/>
      <c r="F59" s="614"/>
      <c r="G59" s="614"/>
      <c r="H59" s="614"/>
      <c r="I59" s="614"/>
      <c r="L59" s="700"/>
      <c r="M59" s="700"/>
      <c r="N59" s="700"/>
      <c r="O59" s="700"/>
      <c r="P59" s="700"/>
      <c r="Q59" s="700"/>
      <c r="R59" s="700"/>
      <c r="S59" s="700">
        <v>57</v>
      </c>
      <c r="T59" s="700">
        <v>70</v>
      </c>
      <c r="U59" s="700"/>
      <c r="V59" s="700"/>
      <c r="W59" s="700"/>
      <c r="X59" s="700"/>
      <c r="Y59" s="699"/>
    </row>
    <row r="60" spans="2:25" x14ac:dyDescent="0.2">
      <c r="B60" s="662"/>
      <c r="C60" s="614"/>
      <c r="D60" s="614"/>
      <c r="E60" s="614"/>
      <c r="F60" s="614"/>
      <c r="G60" s="614"/>
      <c r="H60" s="614"/>
      <c r="I60" s="614"/>
      <c r="L60" s="700"/>
      <c r="M60" s="700"/>
      <c r="N60" s="700"/>
      <c r="O60" s="700"/>
      <c r="P60" s="700"/>
      <c r="Q60" s="700"/>
      <c r="R60" s="700"/>
      <c r="S60" s="700">
        <v>58</v>
      </c>
      <c r="T60" s="700">
        <v>70</v>
      </c>
      <c r="U60" s="700"/>
      <c r="V60" s="700"/>
      <c r="W60" s="700"/>
      <c r="X60" s="700"/>
      <c r="Y60" s="699"/>
    </row>
    <row r="61" spans="2:25" x14ac:dyDescent="0.2">
      <c r="B61" s="662"/>
      <c r="C61" s="614"/>
      <c r="D61" s="614"/>
      <c r="E61" s="614"/>
      <c r="F61" s="614"/>
      <c r="G61" s="614"/>
      <c r="H61" s="614"/>
      <c r="I61" s="614"/>
      <c r="L61" s="700"/>
      <c r="M61" s="700"/>
      <c r="N61" s="700"/>
      <c r="O61" s="700"/>
      <c r="P61" s="700"/>
      <c r="Q61" s="700"/>
      <c r="R61" s="700"/>
      <c r="S61" s="700">
        <v>59</v>
      </c>
      <c r="T61" s="700">
        <v>70</v>
      </c>
      <c r="U61" s="700"/>
      <c r="V61" s="700"/>
      <c r="W61" s="700"/>
      <c r="X61" s="700"/>
      <c r="Y61" s="699"/>
    </row>
    <row r="62" spans="2:25" x14ac:dyDescent="0.2">
      <c r="B62" s="662"/>
      <c r="C62" s="614"/>
      <c r="D62" s="614"/>
      <c r="E62" s="614"/>
      <c r="F62" s="614"/>
      <c r="G62" s="614"/>
      <c r="H62" s="614"/>
      <c r="I62" s="614"/>
      <c r="L62" s="700"/>
      <c r="M62" s="700"/>
      <c r="N62" s="700"/>
      <c r="O62" s="700"/>
      <c r="P62" s="700"/>
      <c r="Q62" s="700"/>
      <c r="R62" s="700"/>
      <c r="S62" s="700">
        <v>60</v>
      </c>
      <c r="T62" s="700">
        <v>70</v>
      </c>
      <c r="U62" s="700"/>
      <c r="V62" s="700"/>
      <c r="W62" s="700"/>
      <c r="X62" s="700"/>
      <c r="Y62" s="699"/>
    </row>
    <row r="63" spans="2:25" x14ac:dyDescent="0.2">
      <c r="B63" s="662"/>
      <c r="C63" s="614"/>
      <c r="D63" s="614"/>
      <c r="E63" s="614"/>
      <c r="F63" s="614"/>
      <c r="G63" s="614"/>
      <c r="H63" s="614"/>
      <c r="I63" s="614"/>
      <c r="L63" s="700"/>
      <c r="M63" s="700"/>
      <c r="N63" s="700"/>
      <c r="O63" s="700"/>
      <c r="P63" s="700"/>
      <c r="Q63" s="700"/>
      <c r="R63" s="700"/>
      <c r="S63" s="700">
        <v>61</v>
      </c>
      <c r="T63" s="700">
        <v>70</v>
      </c>
      <c r="U63" s="700"/>
      <c r="V63" s="700"/>
      <c r="W63" s="700"/>
      <c r="X63" s="700"/>
      <c r="Y63" s="699"/>
    </row>
    <row r="64" spans="2:25" x14ac:dyDescent="0.2">
      <c r="B64" s="662"/>
      <c r="C64" s="614"/>
      <c r="D64" s="614"/>
      <c r="E64" s="614"/>
      <c r="F64" s="614"/>
      <c r="G64" s="614"/>
      <c r="H64" s="614"/>
      <c r="I64" s="614"/>
      <c r="L64" s="700"/>
      <c r="M64" s="700"/>
      <c r="N64" s="700"/>
      <c r="O64" s="700"/>
      <c r="P64" s="700"/>
      <c r="Q64" s="700"/>
      <c r="R64" s="700"/>
      <c r="S64" s="700">
        <v>62</v>
      </c>
      <c r="T64" s="700">
        <v>70</v>
      </c>
      <c r="U64" s="700"/>
      <c r="V64" s="700"/>
      <c r="W64" s="700"/>
      <c r="X64" s="700"/>
      <c r="Y64" s="699"/>
    </row>
    <row r="65" spans="2:25" x14ac:dyDescent="0.2">
      <c r="B65" s="662"/>
      <c r="C65" s="614"/>
      <c r="D65" s="614"/>
      <c r="E65" s="614"/>
      <c r="F65" s="614"/>
      <c r="G65" s="614"/>
      <c r="H65" s="614"/>
      <c r="I65" s="614"/>
      <c r="L65" s="700"/>
      <c r="M65" s="700"/>
      <c r="N65" s="700"/>
      <c r="O65" s="700"/>
      <c r="P65" s="700"/>
      <c r="Q65" s="700"/>
      <c r="R65" s="700"/>
      <c r="S65" s="700">
        <v>63</v>
      </c>
      <c r="T65" s="700">
        <v>70</v>
      </c>
      <c r="U65" s="700"/>
      <c r="V65" s="700"/>
      <c r="W65" s="700"/>
      <c r="X65" s="700"/>
      <c r="Y65" s="699"/>
    </row>
    <row r="66" spans="2:25" x14ac:dyDescent="0.2">
      <c r="B66" s="662"/>
      <c r="C66" s="614"/>
      <c r="D66" s="614"/>
      <c r="E66" s="614"/>
      <c r="F66" s="614"/>
      <c r="G66" s="614"/>
      <c r="H66" s="614"/>
      <c r="I66" s="614"/>
      <c r="L66" s="700"/>
      <c r="M66" s="700"/>
      <c r="N66" s="700"/>
      <c r="O66" s="700"/>
      <c r="P66" s="700"/>
      <c r="Q66" s="700"/>
      <c r="R66" s="700"/>
      <c r="S66" s="700">
        <v>64</v>
      </c>
      <c r="T66" s="700">
        <v>70</v>
      </c>
      <c r="U66" s="700"/>
      <c r="V66" s="700"/>
      <c r="W66" s="700"/>
      <c r="X66" s="700"/>
      <c r="Y66" s="699"/>
    </row>
    <row r="67" spans="2:25" x14ac:dyDescent="0.2">
      <c r="B67" s="662"/>
      <c r="C67" s="614"/>
      <c r="D67" s="614"/>
      <c r="E67" s="614"/>
      <c r="F67" s="614"/>
      <c r="G67" s="614"/>
      <c r="H67" s="614"/>
      <c r="I67" s="614"/>
      <c r="L67" s="700"/>
      <c r="M67" s="700"/>
      <c r="N67" s="700"/>
      <c r="O67" s="700"/>
      <c r="P67" s="700"/>
      <c r="Q67" s="700"/>
      <c r="R67" s="700"/>
      <c r="S67" s="700">
        <v>65</v>
      </c>
      <c r="T67" s="700">
        <v>70</v>
      </c>
      <c r="U67" s="700"/>
      <c r="V67" s="700"/>
      <c r="W67" s="700"/>
      <c r="X67" s="700"/>
      <c r="Y67" s="699"/>
    </row>
    <row r="68" spans="2:25" x14ac:dyDescent="0.2">
      <c r="B68" s="662"/>
      <c r="C68" s="614"/>
      <c r="D68" s="614"/>
      <c r="E68" s="614"/>
      <c r="F68" s="614"/>
      <c r="G68" s="614"/>
      <c r="H68" s="614"/>
      <c r="I68" s="614"/>
      <c r="L68" s="700"/>
      <c r="M68" s="700"/>
      <c r="N68" s="700"/>
      <c r="O68" s="700"/>
      <c r="P68" s="700"/>
      <c r="Q68" s="700"/>
      <c r="R68" s="700"/>
      <c r="S68" s="700">
        <v>66</v>
      </c>
      <c r="T68" s="700">
        <v>70</v>
      </c>
      <c r="U68" s="700"/>
      <c r="V68" s="700"/>
      <c r="W68" s="700"/>
      <c r="X68" s="700"/>
      <c r="Y68" s="699"/>
    </row>
    <row r="69" spans="2:25" x14ac:dyDescent="0.2">
      <c r="B69" s="662"/>
      <c r="C69" s="614"/>
      <c r="D69" s="614"/>
      <c r="E69" s="614"/>
      <c r="F69" s="614"/>
      <c r="G69" s="614"/>
      <c r="H69" s="614"/>
      <c r="I69" s="614"/>
      <c r="L69" s="700"/>
      <c r="M69" s="700"/>
      <c r="N69" s="700"/>
      <c r="O69" s="700"/>
      <c r="P69" s="700"/>
      <c r="Q69" s="700"/>
      <c r="R69" s="700"/>
      <c r="S69" s="700">
        <v>67</v>
      </c>
      <c r="T69" s="700">
        <v>70</v>
      </c>
      <c r="U69" s="700"/>
      <c r="V69" s="700"/>
      <c r="W69" s="700"/>
      <c r="X69" s="700"/>
      <c r="Y69" s="699"/>
    </row>
    <row r="70" spans="2:25" x14ac:dyDescent="0.2">
      <c r="B70" s="662"/>
      <c r="C70" s="614"/>
      <c r="D70" s="614"/>
      <c r="E70" s="614"/>
      <c r="F70" s="614"/>
      <c r="G70" s="614"/>
      <c r="H70" s="614"/>
      <c r="I70" s="614"/>
      <c r="L70" s="700"/>
      <c r="M70" s="700"/>
      <c r="N70" s="700"/>
      <c r="O70" s="700"/>
      <c r="P70" s="700"/>
      <c r="Q70" s="700"/>
      <c r="R70" s="700"/>
      <c r="S70" s="700">
        <v>68</v>
      </c>
      <c r="T70" s="700">
        <v>70</v>
      </c>
      <c r="U70" s="700"/>
      <c r="V70" s="700"/>
      <c r="W70" s="700"/>
      <c r="X70" s="700"/>
      <c r="Y70" s="699"/>
    </row>
    <row r="71" spans="2:25" x14ac:dyDescent="0.2">
      <c r="B71" s="662"/>
      <c r="C71" s="614"/>
      <c r="D71" s="614"/>
      <c r="E71" s="614"/>
      <c r="F71" s="614"/>
      <c r="G71" s="614"/>
      <c r="H71" s="614"/>
      <c r="I71" s="614"/>
      <c r="L71" s="700"/>
      <c r="M71" s="700"/>
      <c r="N71" s="700"/>
      <c r="O71" s="700"/>
      <c r="P71" s="700"/>
      <c r="Q71" s="700"/>
      <c r="R71" s="700"/>
      <c r="S71" s="700">
        <v>69</v>
      </c>
      <c r="T71" s="700">
        <v>70</v>
      </c>
      <c r="U71" s="700"/>
      <c r="V71" s="700"/>
      <c r="W71" s="700"/>
      <c r="X71" s="700"/>
      <c r="Y71" s="699"/>
    </row>
    <row r="72" spans="2:25" x14ac:dyDescent="0.2">
      <c r="B72" s="662"/>
      <c r="C72" s="614"/>
      <c r="D72" s="614"/>
      <c r="E72" s="614"/>
      <c r="F72" s="614"/>
      <c r="G72" s="614"/>
      <c r="H72" s="614"/>
      <c r="I72" s="614"/>
      <c r="L72" s="700"/>
      <c r="M72" s="700"/>
      <c r="N72" s="700"/>
      <c r="O72" s="700"/>
      <c r="P72" s="700"/>
      <c r="Q72" s="700"/>
      <c r="R72" s="700"/>
      <c r="S72" s="700">
        <v>70</v>
      </c>
      <c r="T72" s="700">
        <v>70</v>
      </c>
      <c r="U72" s="700">
        <v>70</v>
      </c>
      <c r="V72" s="700"/>
      <c r="W72" s="700"/>
      <c r="X72" s="700"/>
      <c r="Y72" s="699"/>
    </row>
    <row r="73" spans="2:25" x14ac:dyDescent="0.2">
      <c r="B73" s="662"/>
      <c r="C73" s="614"/>
      <c r="D73" s="614"/>
      <c r="E73" s="614"/>
      <c r="F73" s="614"/>
      <c r="G73" s="614"/>
      <c r="H73" s="614"/>
      <c r="I73" s="614"/>
      <c r="L73" s="700"/>
      <c r="M73" s="700"/>
      <c r="N73" s="700"/>
      <c r="O73" s="700"/>
      <c r="P73" s="700"/>
      <c r="Q73" s="700"/>
      <c r="R73" s="700"/>
      <c r="S73" s="700">
        <v>71</v>
      </c>
      <c r="T73" s="700">
        <v>100</v>
      </c>
      <c r="U73" s="700"/>
      <c r="V73" s="700"/>
      <c r="W73" s="700"/>
      <c r="X73" s="700"/>
      <c r="Y73" s="699"/>
    </row>
    <row r="74" spans="2:25" x14ac:dyDescent="0.2">
      <c r="B74" s="662"/>
      <c r="C74" s="614"/>
      <c r="D74" s="614"/>
      <c r="E74" s="614"/>
      <c r="F74" s="614"/>
      <c r="G74" s="614"/>
      <c r="H74" s="614"/>
      <c r="I74" s="614"/>
      <c r="L74" s="700"/>
      <c r="M74" s="700"/>
      <c r="N74" s="700"/>
      <c r="O74" s="700"/>
      <c r="P74" s="700"/>
      <c r="Q74" s="700"/>
      <c r="R74" s="700"/>
      <c r="S74" s="700">
        <v>72</v>
      </c>
      <c r="T74" s="700">
        <v>100</v>
      </c>
      <c r="U74" s="700"/>
      <c r="V74" s="700"/>
      <c r="W74" s="700"/>
      <c r="X74" s="700"/>
      <c r="Y74" s="699"/>
    </row>
    <row r="75" spans="2:25" x14ac:dyDescent="0.2">
      <c r="B75" s="662"/>
      <c r="C75" s="614"/>
      <c r="D75" s="614"/>
      <c r="E75" s="614"/>
      <c r="F75" s="614"/>
      <c r="G75" s="614"/>
      <c r="H75" s="614"/>
      <c r="I75" s="614"/>
      <c r="L75" s="700"/>
      <c r="M75" s="700"/>
      <c r="N75" s="700"/>
      <c r="O75" s="700"/>
      <c r="P75" s="700"/>
      <c r="Q75" s="700"/>
      <c r="R75" s="700"/>
      <c r="S75" s="700">
        <v>73</v>
      </c>
      <c r="T75" s="700">
        <v>100</v>
      </c>
      <c r="U75" s="700"/>
      <c r="V75" s="700"/>
      <c r="W75" s="700"/>
      <c r="X75" s="700"/>
      <c r="Y75" s="699"/>
    </row>
    <row r="76" spans="2:25" x14ac:dyDescent="0.2">
      <c r="B76" s="662"/>
      <c r="C76" s="614"/>
      <c r="D76" s="614"/>
      <c r="E76" s="614"/>
      <c r="F76" s="614"/>
      <c r="G76" s="614"/>
      <c r="H76" s="614"/>
      <c r="I76" s="614"/>
      <c r="L76" s="700"/>
      <c r="M76" s="700"/>
      <c r="N76" s="700"/>
      <c r="O76" s="700"/>
      <c r="P76" s="700"/>
      <c r="Q76" s="700"/>
      <c r="R76" s="700"/>
      <c r="S76" s="700">
        <v>74</v>
      </c>
      <c r="T76" s="700">
        <v>100</v>
      </c>
      <c r="U76" s="700"/>
      <c r="V76" s="700"/>
      <c r="W76" s="700"/>
      <c r="X76" s="700"/>
      <c r="Y76" s="699"/>
    </row>
    <row r="77" spans="2:25" x14ac:dyDescent="0.2">
      <c r="H77" s="614"/>
      <c r="I77" s="614"/>
      <c r="L77" s="700"/>
      <c r="M77" s="700"/>
      <c r="N77" s="700"/>
      <c r="O77" s="700"/>
      <c r="P77" s="700"/>
      <c r="Q77" s="700"/>
      <c r="R77" s="700"/>
      <c r="S77" s="700">
        <v>75</v>
      </c>
      <c r="T77" s="700">
        <v>100</v>
      </c>
      <c r="U77" s="700"/>
      <c r="V77" s="700"/>
      <c r="W77" s="700"/>
      <c r="X77" s="700"/>
      <c r="Y77" s="699"/>
    </row>
    <row r="78" spans="2:25" x14ac:dyDescent="0.2">
      <c r="L78" s="700"/>
      <c r="M78" s="700"/>
      <c r="N78" s="700"/>
      <c r="O78" s="700"/>
      <c r="P78" s="700"/>
      <c r="Q78" s="700"/>
      <c r="R78" s="700"/>
      <c r="S78" s="700">
        <v>76</v>
      </c>
      <c r="T78" s="700">
        <v>100</v>
      </c>
      <c r="U78" s="700"/>
      <c r="V78" s="700"/>
      <c r="W78" s="700"/>
      <c r="X78" s="700"/>
      <c r="Y78" s="699"/>
    </row>
    <row r="79" spans="2:25" x14ac:dyDescent="0.2">
      <c r="L79" s="700"/>
      <c r="M79" s="700"/>
      <c r="N79" s="700"/>
      <c r="O79" s="700"/>
      <c r="P79" s="700"/>
      <c r="Q79" s="700"/>
      <c r="R79" s="700"/>
      <c r="S79" s="700">
        <v>77</v>
      </c>
      <c r="T79" s="700">
        <v>100</v>
      </c>
      <c r="U79" s="700"/>
      <c r="V79" s="700"/>
      <c r="W79" s="700"/>
      <c r="X79" s="700"/>
      <c r="Y79" s="699"/>
    </row>
    <row r="80" spans="2:25" x14ac:dyDescent="0.2">
      <c r="L80" s="700"/>
      <c r="M80" s="700"/>
      <c r="N80" s="700"/>
      <c r="O80" s="700"/>
      <c r="P80" s="700"/>
      <c r="Q80" s="700"/>
      <c r="R80" s="700"/>
      <c r="S80" s="700">
        <v>78</v>
      </c>
      <c r="T80" s="700">
        <v>100</v>
      </c>
      <c r="U80" s="700"/>
      <c r="V80" s="700"/>
      <c r="W80" s="700"/>
      <c r="X80" s="700"/>
      <c r="Y80" s="699"/>
    </row>
    <row r="81" spans="12:25" x14ac:dyDescent="0.2">
      <c r="L81" s="700"/>
      <c r="M81" s="700"/>
      <c r="N81" s="700"/>
      <c r="O81" s="700"/>
      <c r="P81" s="700"/>
      <c r="Q81" s="700"/>
      <c r="R81" s="700"/>
      <c r="S81" s="700">
        <v>79</v>
      </c>
      <c r="T81" s="700">
        <v>100</v>
      </c>
      <c r="U81" s="700"/>
      <c r="V81" s="700"/>
      <c r="W81" s="700"/>
      <c r="X81" s="700"/>
      <c r="Y81" s="699"/>
    </row>
    <row r="82" spans="12:25" x14ac:dyDescent="0.2">
      <c r="L82" s="700"/>
      <c r="M82" s="700"/>
      <c r="N82" s="700"/>
      <c r="O82" s="700"/>
      <c r="P82" s="700"/>
      <c r="Q82" s="700"/>
      <c r="R82" s="700"/>
      <c r="S82" s="700">
        <v>80</v>
      </c>
      <c r="T82" s="700">
        <v>100</v>
      </c>
      <c r="U82" s="700"/>
      <c r="V82" s="700"/>
      <c r="W82" s="700"/>
      <c r="X82" s="700"/>
      <c r="Y82" s="699"/>
    </row>
    <row r="83" spans="12:25" x14ac:dyDescent="0.2">
      <c r="L83" s="700"/>
      <c r="M83" s="700"/>
      <c r="N83" s="700"/>
      <c r="O83" s="700"/>
      <c r="P83" s="700"/>
      <c r="Q83" s="700"/>
      <c r="R83" s="700"/>
      <c r="S83" s="700">
        <v>81</v>
      </c>
      <c r="T83" s="700">
        <v>100</v>
      </c>
      <c r="U83" s="700"/>
      <c r="V83" s="700"/>
      <c r="W83" s="700"/>
      <c r="X83" s="700"/>
      <c r="Y83" s="699"/>
    </row>
    <row r="84" spans="12:25" x14ac:dyDescent="0.2">
      <c r="L84" s="700"/>
      <c r="M84" s="700"/>
      <c r="N84" s="700"/>
      <c r="O84" s="700"/>
      <c r="P84" s="700"/>
      <c r="Q84" s="700"/>
      <c r="R84" s="700"/>
      <c r="S84" s="700">
        <v>82</v>
      </c>
      <c r="T84" s="700">
        <v>100</v>
      </c>
      <c r="U84" s="700"/>
      <c r="V84" s="700"/>
      <c r="W84" s="700"/>
      <c r="X84" s="700"/>
      <c r="Y84" s="699"/>
    </row>
    <row r="85" spans="12:25" x14ac:dyDescent="0.2">
      <c r="L85" s="700"/>
      <c r="M85" s="700"/>
      <c r="N85" s="700"/>
      <c r="O85" s="700"/>
      <c r="P85" s="700"/>
      <c r="Q85" s="700"/>
      <c r="R85" s="700"/>
      <c r="S85" s="700">
        <v>83</v>
      </c>
      <c r="T85" s="700">
        <v>100</v>
      </c>
      <c r="U85" s="700"/>
      <c r="V85" s="700"/>
      <c r="W85" s="700"/>
      <c r="X85" s="700"/>
      <c r="Y85" s="699"/>
    </row>
    <row r="86" spans="12:25" x14ac:dyDescent="0.2">
      <c r="L86" s="700"/>
      <c r="M86" s="700"/>
      <c r="N86" s="700"/>
      <c r="O86" s="700"/>
      <c r="P86" s="700"/>
      <c r="Q86" s="700"/>
      <c r="R86" s="700"/>
      <c r="S86" s="700">
        <v>84</v>
      </c>
      <c r="T86" s="700">
        <v>100</v>
      </c>
      <c r="U86" s="700"/>
      <c r="V86" s="700"/>
      <c r="W86" s="700"/>
      <c r="X86" s="700"/>
      <c r="Y86" s="699"/>
    </row>
    <row r="87" spans="12:25" x14ac:dyDescent="0.2">
      <c r="L87" s="700"/>
      <c r="M87" s="700"/>
      <c r="N87" s="700"/>
      <c r="O87" s="700"/>
      <c r="P87" s="700"/>
      <c r="Q87" s="700"/>
      <c r="R87" s="700"/>
      <c r="S87" s="700">
        <v>85</v>
      </c>
      <c r="T87" s="700">
        <v>100</v>
      </c>
      <c r="U87" s="700"/>
      <c r="V87" s="700"/>
      <c r="W87" s="700"/>
      <c r="X87" s="700"/>
      <c r="Y87" s="699"/>
    </row>
    <row r="88" spans="12:25" x14ac:dyDescent="0.2">
      <c r="L88" s="700"/>
      <c r="M88" s="700"/>
      <c r="N88" s="700"/>
      <c r="O88" s="700"/>
      <c r="P88" s="700"/>
      <c r="Q88" s="700"/>
      <c r="R88" s="700"/>
      <c r="S88" s="700">
        <v>86</v>
      </c>
      <c r="T88" s="700">
        <v>100</v>
      </c>
      <c r="U88" s="700"/>
      <c r="V88" s="700"/>
      <c r="W88" s="700"/>
      <c r="X88" s="700"/>
      <c r="Y88" s="699"/>
    </row>
    <row r="89" spans="12:25" x14ac:dyDescent="0.2">
      <c r="L89" s="700"/>
      <c r="M89" s="700"/>
      <c r="N89" s="700"/>
      <c r="O89" s="700"/>
      <c r="P89" s="700"/>
      <c r="Q89" s="700"/>
      <c r="R89" s="700"/>
      <c r="S89" s="700">
        <v>87</v>
      </c>
      <c r="T89" s="700">
        <v>100</v>
      </c>
      <c r="U89" s="700"/>
      <c r="V89" s="700"/>
      <c r="W89" s="700"/>
      <c r="X89" s="700"/>
      <c r="Y89" s="699"/>
    </row>
    <row r="90" spans="12:25" x14ac:dyDescent="0.2">
      <c r="L90" s="700"/>
      <c r="M90" s="700"/>
      <c r="N90" s="700"/>
      <c r="O90" s="700"/>
      <c r="P90" s="700"/>
      <c r="Q90" s="700"/>
      <c r="R90" s="700"/>
      <c r="S90" s="700">
        <v>88</v>
      </c>
      <c r="T90" s="700">
        <v>100</v>
      </c>
      <c r="U90" s="700"/>
      <c r="V90" s="700"/>
      <c r="W90" s="700"/>
      <c r="X90" s="700"/>
      <c r="Y90" s="699"/>
    </row>
    <row r="91" spans="12:25" x14ac:dyDescent="0.2">
      <c r="L91" s="700"/>
      <c r="M91" s="700"/>
      <c r="N91" s="700"/>
      <c r="O91" s="700"/>
      <c r="P91" s="700"/>
      <c r="Q91" s="700"/>
      <c r="R91" s="700"/>
      <c r="S91" s="700">
        <v>89</v>
      </c>
      <c r="T91" s="700">
        <v>100</v>
      </c>
      <c r="U91" s="700"/>
      <c r="V91" s="700"/>
      <c r="W91" s="700"/>
      <c r="X91" s="700"/>
      <c r="Y91" s="699"/>
    </row>
    <row r="92" spans="12:25" x14ac:dyDescent="0.2">
      <c r="L92" s="700"/>
      <c r="M92" s="700"/>
      <c r="N92" s="700"/>
      <c r="O92" s="700"/>
      <c r="P92" s="700"/>
      <c r="Q92" s="700"/>
      <c r="R92" s="700"/>
      <c r="S92" s="700">
        <v>90</v>
      </c>
      <c r="T92" s="700">
        <v>100</v>
      </c>
      <c r="U92" s="700"/>
      <c r="V92" s="700"/>
      <c r="W92" s="700"/>
      <c r="X92" s="700"/>
      <c r="Y92" s="699"/>
    </row>
    <row r="93" spans="12:25" x14ac:dyDescent="0.2">
      <c r="L93" s="700"/>
      <c r="M93" s="700"/>
      <c r="N93" s="700"/>
      <c r="O93" s="700"/>
      <c r="P93" s="700"/>
      <c r="Q93" s="700"/>
      <c r="R93" s="700"/>
      <c r="S93" s="700">
        <v>91</v>
      </c>
      <c r="T93" s="700">
        <v>100</v>
      </c>
      <c r="U93" s="700"/>
      <c r="V93" s="700"/>
      <c r="W93" s="700"/>
      <c r="X93" s="700"/>
      <c r="Y93" s="699"/>
    </row>
    <row r="94" spans="12:25" x14ac:dyDescent="0.2">
      <c r="L94" s="700"/>
      <c r="M94" s="700"/>
      <c r="N94" s="700"/>
      <c r="O94" s="700"/>
      <c r="P94" s="700"/>
      <c r="Q94" s="700"/>
      <c r="R94" s="700"/>
      <c r="S94" s="700">
        <v>92</v>
      </c>
      <c r="T94" s="700">
        <v>100</v>
      </c>
      <c r="U94" s="700"/>
      <c r="V94" s="700"/>
      <c r="W94" s="700"/>
      <c r="X94" s="700"/>
      <c r="Y94" s="699"/>
    </row>
    <row r="95" spans="12:25" x14ac:dyDescent="0.2">
      <c r="L95" s="700"/>
      <c r="M95" s="700"/>
      <c r="N95" s="700"/>
      <c r="O95" s="700"/>
      <c r="P95" s="700"/>
      <c r="Q95" s="700"/>
      <c r="R95" s="700"/>
      <c r="S95" s="700">
        <v>93</v>
      </c>
      <c r="T95" s="700">
        <v>100</v>
      </c>
      <c r="U95" s="700"/>
      <c r="V95" s="700"/>
      <c r="W95" s="700"/>
      <c r="X95" s="700"/>
      <c r="Y95" s="699"/>
    </row>
    <row r="96" spans="12:25" x14ac:dyDescent="0.2">
      <c r="L96" s="700"/>
      <c r="M96" s="700"/>
      <c r="N96" s="700"/>
      <c r="O96" s="700"/>
      <c r="P96" s="700"/>
      <c r="Q96" s="700"/>
      <c r="R96" s="700"/>
      <c r="S96" s="700">
        <v>94</v>
      </c>
      <c r="T96" s="700">
        <v>100</v>
      </c>
      <c r="U96" s="700"/>
      <c r="V96" s="700"/>
      <c r="W96" s="700"/>
      <c r="X96" s="700"/>
      <c r="Y96" s="699"/>
    </row>
    <row r="97" spans="12:25" x14ac:dyDescent="0.2">
      <c r="L97" s="700"/>
      <c r="M97" s="700"/>
      <c r="N97" s="700"/>
      <c r="O97" s="700"/>
      <c r="P97" s="700"/>
      <c r="Q97" s="700"/>
      <c r="R97" s="700"/>
      <c r="S97" s="700">
        <v>95</v>
      </c>
      <c r="T97" s="700">
        <v>100</v>
      </c>
      <c r="U97" s="700"/>
      <c r="V97" s="700"/>
      <c r="W97" s="700"/>
      <c r="X97" s="700"/>
      <c r="Y97" s="699"/>
    </row>
    <row r="98" spans="12:25" x14ac:dyDescent="0.2">
      <c r="L98" s="700"/>
      <c r="M98" s="700"/>
      <c r="N98" s="700"/>
      <c r="O98" s="700"/>
      <c r="P98" s="700"/>
      <c r="Q98" s="700"/>
      <c r="R98" s="700"/>
      <c r="S98" s="700">
        <v>96</v>
      </c>
      <c r="T98" s="700">
        <v>100</v>
      </c>
      <c r="U98" s="700"/>
      <c r="V98" s="700"/>
      <c r="W98" s="700"/>
      <c r="X98" s="700"/>
      <c r="Y98" s="699"/>
    </row>
    <row r="99" spans="12:25" x14ac:dyDescent="0.2">
      <c r="L99" s="700"/>
      <c r="M99" s="700"/>
      <c r="N99" s="700"/>
      <c r="O99" s="700"/>
      <c r="P99" s="700"/>
      <c r="Q99" s="700"/>
      <c r="R99" s="700"/>
      <c r="S99" s="700">
        <v>97</v>
      </c>
      <c r="T99" s="700">
        <v>100</v>
      </c>
      <c r="U99" s="700"/>
      <c r="V99" s="700"/>
      <c r="W99" s="700"/>
      <c r="X99" s="700"/>
      <c r="Y99" s="699"/>
    </row>
    <row r="100" spans="12:25" x14ac:dyDescent="0.2">
      <c r="L100" s="700"/>
      <c r="M100" s="700"/>
      <c r="N100" s="700"/>
      <c r="O100" s="700"/>
      <c r="P100" s="700"/>
      <c r="Q100" s="700"/>
      <c r="R100" s="700"/>
      <c r="S100" s="700">
        <v>98</v>
      </c>
      <c r="T100" s="700">
        <v>100</v>
      </c>
      <c r="U100" s="700"/>
      <c r="V100" s="700"/>
      <c r="W100" s="700"/>
      <c r="X100" s="700"/>
      <c r="Y100" s="699"/>
    </row>
    <row r="101" spans="12:25" x14ac:dyDescent="0.2">
      <c r="L101" s="700"/>
      <c r="M101" s="700"/>
      <c r="N101" s="700"/>
      <c r="O101" s="700"/>
      <c r="P101" s="700"/>
      <c r="Q101" s="700"/>
      <c r="R101" s="700"/>
      <c r="S101" s="700">
        <v>99</v>
      </c>
      <c r="T101" s="700">
        <v>100</v>
      </c>
      <c r="U101" s="700"/>
      <c r="V101" s="700"/>
      <c r="W101" s="700"/>
      <c r="X101" s="700"/>
      <c r="Y101" s="699"/>
    </row>
    <row r="102" spans="12:25" x14ac:dyDescent="0.2">
      <c r="L102" s="700"/>
      <c r="M102" s="700"/>
      <c r="N102" s="700"/>
      <c r="O102" s="700"/>
      <c r="P102" s="700"/>
      <c r="Q102" s="700"/>
      <c r="R102" s="700"/>
      <c r="S102" s="700">
        <v>100</v>
      </c>
      <c r="T102" s="700">
        <v>100</v>
      </c>
      <c r="U102" s="700">
        <v>100</v>
      </c>
      <c r="V102" s="700"/>
      <c r="W102" s="700"/>
      <c r="X102" s="700"/>
      <c r="Y102" s="699"/>
    </row>
    <row r="103" spans="12:25" x14ac:dyDescent="0.2">
      <c r="L103" s="700"/>
      <c r="M103" s="700"/>
      <c r="N103" s="700"/>
      <c r="O103" s="700"/>
      <c r="P103" s="700"/>
      <c r="Q103" s="700"/>
      <c r="R103" s="700"/>
      <c r="S103" s="700">
        <v>101</v>
      </c>
      <c r="T103" s="700">
        <v>150</v>
      </c>
      <c r="U103" s="700"/>
      <c r="V103" s="700"/>
      <c r="W103" s="700"/>
      <c r="X103" s="700"/>
      <c r="Y103" s="699"/>
    </row>
    <row r="104" spans="12:25" x14ac:dyDescent="0.2">
      <c r="L104" s="700"/>
      <c r="M104" s="700"/>
      <c r="N104" s="700"/>
      <c r="O104" s="700"/>
      <c r="P104" s="700"/>
      <c r="Q104" s="700"/>
      <c r="R104" s="700"/>
      <c r="S104" s="700">
        <v>102</v>
      </c>
      <c r="T104" s="700">
        <v>150</v>
      </c>
      <c r="U104" s="700"/>
      <c r="V104" s="700"/>
      <c r="W104" s="700"/>
      <c r="X104" s="700"/>
      <c r="Y104" s="699"/>
    </row>
    <row r="105" spans="12:25" x14ac:dyDescent="0.2">
      <c r="L105" s="700"/>
      <c r="M105" s="700"/>
      <c r="N105" s="700"/>
      <c r="O105" s="700"/>
      <c r="P105" s="700"/>
      <c r="Q105" s="700"/>
      <c r="R105" s="700"/>
      <c r="S105" s="700">
        <v>103</v>
      </c>
      <c r="T105" s="700">
        <v>150</v>
      </c>
      <c r="U105" s="700"/>
      <c r="V105" s="700"/>
      <c r="W105" s="700"/>
      <c r="X105" s="700"/>
      <c r="Y105" s="699"/>
    </row>
    <row r="106" spans="12:25" x14ac:dyDescent="0.2">
      <c r="L106" s="700"/>
      <c r="M106" s="700"/>
      <c r="N106" s="700"/>
      <c r="O106" s="700"/>
      <c r="P106" s="700"/>
      <c r="Q106" s="700"/>
      <c r="R106" s="700"/>
      <c r="S106" s="700">
        <v>104</v>
      </c>
      <c r="T106" s="700">
        <v>150</v>
      </c>
      <c r="U106" s="700"/>
      <c r="V106" s="700"/>
      <c r="W106" s="700"/>
      <c r="X106" s="700"/>
      <c r="Y106" s="699"/>
    </row>
    <row r="107" spans="12:25" x14ac:dyDescent="0.2">
      <c r="L107" s="700"/>
      <c r="M107" s="700"/>
      <c r="N107" s="700"/>
      <c r="O107" s="700"/>
      <c r="P107" s="700"/>
      <c r="Q107" s="700"/>
      <c r="R107" s="700"/>
      <c r="S107" s="700">
        <v>105</v>
      </c>
      <c r="T107" s="700">
        <v>150</v>
      </c>
      <c r="U107" s="700"/>
      <c r="V107" s="700"/>
      <c r="W107" s="700"/>
      <c r="X107" s="700"/>
      <c r="Y107" s="699"/>
    </row>
    <row r="108" spans="12:25" x14ac:dyDescent="0.2">
      <c r="L108" s="700"/>
      <c r="M108" s="700"/>
      <c r="N108" s="700"/>
      <c r="O108" s="700"/>
      <c r="P108" s="700"/>
      <c r="Q108" s="700"/>
      <c r="R108" s="700"/>
      <c r="S108" s="700">
        <v>106</v>
      </c>
      <c r="T108" s="700">
        <v>150</v>
      </c>
      <c r="U108" s="700"/>
      <c r="V108" s="700"/>
      <c r="W108" s="700"/>
      <c r="X108" s="700"/>
      <c r="Y108" s="699"/>
    </row>
    <row r="109" spans="12:25" x14ac:dyDescent="0.2">
      <c r="L109" s="700"/>
      <c r="M109" s="700"/>
      <c r="N109" s="700"/>
      <c r="O109" s="700"/>
      <c r="P109" s="700"/>
      <c r="Q109" s="700"/>
      <c r="R109" s="700"/>
      <c r="S109" s="700">
        <v>107</v>
      </c>
      <c r="T109" s="700">
        <v>150</v>
      </c>
      <c r="U109" s="700"/>
      <c r="V109" s="700"/>
      <c r="W109" s="700"/>
      <c r="X109" s="700"/>
      <c r="Y109" s="699"/>
    </row>
    <row r="110" spans="12:25" x14ac:dyDescent="0.2">
      <c r="L110" s="700"/>
      <c r="M110" s="700"/>
      <c r="N110" s="700"/>
      <c r="O110" s="700"/>
      <c r="P110" s="700"/>
      <c r="Q110" s="700"/>
      <c r="R110" s="700"/>
      <c r="S110" s="700">
        <v>108</v>
      </c>
      <c r="T110" s="700">
        <v>150</v>
      </c>
      <c r="U110" s="700"/>
      <c r="V110" s="700"/>
      <c r="W110" s="700"/>
      <c r="X110" s="700"/>
      <c r="Y110" s="699"/>
    </row>
    <row r="111" spans="12:25" x14ac:dyDescent="0.2">
      <c r="L111" s="700"/>
      <c r="M111" s="700"/>
      <c r="N111" s="700"/>
      <c r="O111" s="700"/>
      <c r="P111" s="700"/>
      <c r="Q111" s="700"/>
      <c r="R111" s="700"/>
      <c r="S111" s="700">
        <v>109</v>
      </c>
      <c r="T111" s="700">
        <v>150</v>
      </c>
      <c r="U111" s="700"/>
      <c r="V111" s="700"/>
      <c r="W111" s="700"/>
      <c r="X111" s="700"/>
      <c r="Y111" s="699"/>
    </row>
    <row r="112" spans="12:25" x14ac:dyDescent="0.2">
      <c r="L112" s="700"/>
      <c r="M112" s="700"/>
      <c r="N112" s="700"/>
      <c r="O112" s="700"/>
      <c r="P112" s="700"/>
      <c r="Q112" s="700"/>
      <c r="R112" s="700"/>
      <c r="S112" s="700">
        <v>110</v>
      </c>
      <c r="T112" s="700">
        <v>150</v>
      </c>
      <c r="U112" s="700"/>
      <c r="V112" s="700"/>
      <c r="W112" s="700"/>
      <c r="X112" s="700"/>
      <c r="Y112" s="699"/>
    </row>
    <row r="113" spans="12:25" x14ac:dyDescent="0.2">
      <c r="L113" s="700"/>
      <c r="M113" s="700"/>
      <c r="N113" s="700"/>
      <c r="O113" s="700"/>
      <c r="P113" s="700"/>
      <c r="Q113" s="700"/>
      <c r="R113" s="700"/>
      <c r="S113" s="700">
        <v>111</v>
      </c>
      <c r="T113" s="700">
        <v>150</v>
      </c>
      <c r="U113" s="700"/>
      <c r="V113" s="700"/>
      <c r="W113" s="700"/>
      <c r="X113" s="700"/>
      <c r="Y113" s="699"/>
    </row>
    <row r="114" spans="12:25" x14ac:dyDescent="0.2">
      <c r="L114" s="700"/>
      <c r="M114" s="700"/>
      <c r="N114" s="700"/>
      <c r="O114" s="700"/>
      <c r="P114" s="700"/>
      <c r="Q114" s="700"/>
      <c r="R114" s="700"/>
      <c r="S114" s="700">
        <v>112</v>
      </c>
      <c r="T114" s="700">
        <v>150</v>
      </c>
      <c r="U114" s="700"/>
      <c r="V114" s="700"/>
      <c r="W114" s="700"/>
      <c r="X114" s="700"/>
      <c r="Y114" s="699"/>
    </row>
    <row r="115" spans="12:25" x14ac:dyDescent="0.2">
      <c r="L115" s="700"/>
      <c r="M115" s="700"/>
      <c r="N115" s="700"/>
      <c r="O115" s="700"/>
      <c r="P115" s="700"/>
      <c r="Q115" s="700"/>
      <c r="R115" s="700"/>
      <c r="S115" s="700">
        <v>113</v>
      </c>
      <c r="T115" s="700">
        <v>150</v>
      </c>
      <c r="U115" s="700"/>
      <c r="V115" s="700"/>
      <c r="W115" s="700"/>
      <c r="X115" s="700"/>
      <c r="Y115" s="699"/>
    </row>
    <row r="116" spans="12:25" x14ac:dyDescent="0.2">
      <c r="L116" s="700"/>
      <c r="M116" s="700"/>
      <c r="N116" s="700"/>
      <c r="O116" s="700"/>
      <c r="P116" s="700"/>
      <c r="Q116" s="700"/>
      <c r="R116" s="700"/>
      <c r="S116" s="700">
        <v>114</v>
      </c>
      <c r="T116" s="700">
        <v>150</v>
      </c>
      <c r="U116" s="700"/>
      <c r="V116" s="700"/>
      <c r="W116" s="700"/>
      <c r="X116" s="700"/>
      <c r="Y116" s="699"/>
    </row>
    <row r="117" spans="12:25" x14ac:dyDescent="0.2">
      <c r="L117" s="700"/>
      <c r="M117" s="700"/>
      <c r="N117" s="700"/>
      <c r="O117" s="700"/>
      <c r="P117" s="700"/>
      <c r="Q117" s="700"/>
      <c r="R117" s="700"/>
      <c r="S117" s="700">
        <v>115</v>
      </c>
      <c r="T117" s="700">
        <v>150</v>
      </c>
      <c r="U117" s="700"/>
      <c r="V117" s="700"/>
      <c r="W117" s="700"/>
      <c r="X117" s="700"/>
      <c r="Y117" s="699"/>
    </row>
    <row r="118" spans="12:25" x14ac:dyDescent="0.2">
      <c r="L118" s="700"/>
      <c r="M118" s="700"/>
      <c r="N118" s="700"/>
      <c r="O118" s="700"/>
      <c r="P118" s="700"/>
      <c r="Q118" s="700"/>
      <c r="R118" s="700"/>
      <c r="S118" s="700">
        <v>116</v>
      </c>
      <c r="T118" s="700">
        <v>150</v>
      </c>
      <c r="U118" s="700"/>
      <c r="V118" s="700"/>
      <c r="W118" s="700"/>
      <c r="X118" s="700"/>
      <c r="Y118" s="699"/>
    </row>
    <row r="119" spans="12:25" x14ac:dyDescent="0.2">
      <c r="L119" s="700"/>
      <c r="M119" s="700"/>
      <c r="N119" s="700"/>
      <c r="O119" s="700"/>
      <c r="P119" s="700"/>
      <c r="Q119" s="700"/>
      <c r="R119" s="700"/>
      <c r="S119" s="700">
        <v>117</v>
      </c>
      <c r="T119" s="700">
        <v>150</v>
      </c>
      <c r="U119" s="700"/>
      <c r="V119" s="700"/>
      <c r="W119" s="700"/>
      <c r="X119" s="700"/>
      <c r="Y119" s="699"/>
    </row>
    <row r="120" spans="12:25" x14ac:dyDescent="0.2">
      <c r="L120" s="700"/>
      <c r="M120" s="700"/>
      <c r="N120" s="700"/>
      <c r="O120" s="700"/>
      <c r="P120" s="700"/>
      <c r="Q120" s="700"/>
      <c r="R120" s="700"/>
      <c r="S120" s="700">
        <v>118</v>
      </c>
      <c r="T120" s="700">
        <v>150</v>
      </c>
      <c r="U120" s="700"/>
      <c r="V120" s="700"/>
      <c r="W120" s="700"/>
      <c r="X120" s="700"/>
      <c r="Y120" s="699"/>
    </row>
    <row r="121" spans="12:25" x14ac:dyDescent="0.2">
      <c r="L121" s="700"/>
      <c r="M121" s="700"/>
      <c r="N121" s="700"/>
      <c r="O121" s="700"/>
      <c r="P121" s="700"/>
      <c r="Q121" s="700"/>
      <c r="R121" s="700"/>
      <c r="S121" s="700">
        <v>119</v>
      </c>
      <c r="T121" s="700">
        <v>150</v>
      </c>
      <c r="U121" s="700"/>
      <c r="V121" s="700"/>
      <c r="W121" s="700"/>
      <c r="X121" s="700"/>
      <c r="Y121" s="699"/>
    </row>
    <row r="122" spans="12:25" x14ac:dyDescent="0.2">
      <c r="L122" s="700"/>
      <c r="M122" s="700"/>
      <c r="N122" s="700"/>
      <c r="O122" s="700"/>
      <c r="P122" s="700"/>
      <c r="Q122" s="700"/>
      <c r="R122" s="700"/>
      <c r="S122" s="700">
        <v>120</v>
      </c>
      <c r="T122" s="700">
        <v>150</v>
      </c>
      <c r="U122" s="700"/>
      <c r="V122" s="700"/>
      <c r="W122" s="700"/>
      <c r="X122" s="700"/>
      <c r="Y122" s="699"/>
    </row>
    <row r="123" spans="12:25" x14ac:dyDescent="0.2">
      <c r="L123" s="700"/>
      <c r="M123" s="700"/>
      <c r="N123" s="700"/>
      <c r="O123" s="700"/>
      <c r="P123" s="700"/>
      <c r="Q123" s="700"/>
      <c r="R123" s="700"/>
      <c r="S123" s="700">
        <v>121</v>
      </c>
      <c r="T123" s="700">
        <v>150</v>
      </c>
      <c r="U123" s="700"/>
      <c r="V123" s="700"/>
      <c r="W123" s="700"/>
      <c r="X123" s="700"/>
      <c r="Y123" s="699"/>
    </row>
    <row r="124" spans="12:25" x14ac:dyDescent="0.2">
      <c r="L124" s="700"/>
      <c r="M124" s="700"/>
      <c r="N124" s="700"/>
      <c r="O124" s="700"/>
      <c r="P124" s="700"/>
      <c r="Q124" s="700"/>
      <c r="R124" s="700"/>
      <c r="S124" s="700">
        <v>122</v>
      </c>
      <c r="T124" s="700">
        <v>150</v>
      </c>
      <c r="U124" s="700"/>
      <c r="V124" s="700"/>
      <c r="W124" s="700"/>
      <c r="X124" s="700"/>
      <c r="Y124" s="699"/>
    </row>
    <row r="125" spans="12:25" x14ac:dyDescent="0.2">
      <c r="L125" s="700"/>
      <c r="M125" s="700"/>
      <c r="N125" s="700"/>
      <c r="O125" s="700"/>
      <c r="P125" s="700"/>
      <c r="Q125" s="700"/>
      <c r="R125" s="700"/>
      <c r="S125" s="700">
        <v>123</v>
      </c>
      <c r="T125" s="700">
        <v>150</v>
      </c>
      <c r="U125" s="700"/>
      <c r="V125" s="700"/>
      <c r="W125" s="700"/>
      <c r="X125" s="700"/>
      <c r="Y125" s="699"/>
    </row>
    <row r="126" spans="12:25" x14ac:dyDescent="0.2">
      <c r="L126" s="700"/>
      <c r="M126" s="700"/>
      <c r="N126" s="700"/>
      <c r="O126" s="700"/>
      <c r="P126" s="700"/>
      <c r="Q126" s="700"/>
      <c r="R126" s="700"/>
      <c r="S126" s="700">
        <v>124</v>
      </c>
      <c r="T126" s="700">
        <v>150</v>
      </c>
      <c r="U126" s="700"/>
      <c r="V126" s="700"/>
      <c r="W126" s="700"/>
      <c r="X126" s="700"/>
      <c r="Y126" s="699"/>
    </row>
    <row r="127" spans="12:25" x14ac:dyDescent="0.2">
      <c r="L127" s="700"/>
      <c r="M127" s="700"/>
      <c r="N127" s="700"/>
      <c r="O127" s="700"/>
      <c r="P127" s="700"/>
      <c r="Q127" s="700"/>
      <c r="R127" s="700"/>
      <c r="S127" s="700">
        <v>125</v>
      </c>
      <c r="T127" s="700">
        <v>150</v>
      </c>
      <c r="U127" s="700"/>
      <c r="V127" s="700"/>
      <c r="W127" s="700"/>
      <c r="X127" s="700"/>
      <c r="Y127" s="699"/>
    </row>
    <row r="128" spans="12:25" x14ac:dyDescent="0.2">
      <c r="L128" s="700"/>
      <c r="M128" s="700"/>
      <c r="N128" s="700"/>
      <c r="O128" s="700"/>
      <c r="P128" s="700"/>
      <c r="Q128" s="700"/>
      <c r="R128" s="700"/>
      <c r="S128" s="700">
        <v>126</v>
      </c>
      <c r="T128" s="700">
        <v>150</v>
      </c>
      <c r="U128" s="700"/>
      <c r="V128" s="700"/>
      <c r="W128" s="700"/>
      <c r="X128" s="700"/>
      <c r="Y128" s="699"/>
    </row>
    <row r="129" spans="12:25" x14ac:dyDescent="0.2">
      <c r="L129" s="700"/>
      <c r="M129" s="700"/>
      <c r="N129" s="700"/>
      <c r="O129" s="700"/>
      <c r="P129" s="700"/>
      <c r="Q129" s="700"/>
      <c r="R129" s="700"/>
      <c r="S129" s="700">
        <v>127</v>
      </c>
      <c r="T129" s="700">
        <v>150</v>
      </c>
      <c r="U129" s="700"/>
      <c r="V129" s="700"/>
      <c r="W129" s="700"/>
      <c r="X129" s="700"/>
      <c r="Y129" s="699"/>
    </row>
    <row r="130" spans="12:25" x14ac:dyDescent="0.2">
      <c r="L130" s="700"/>
      <c r="M130" s="700"/>
      <c r="N130" s="700"/>
      <c r="O130" s="700"/>
      <c r="P130" s="700"/>
      <c r="Q130" s="700"/>
      <c r="R130" s="700"/>
      <c r="S130" s="700">
        <v>128</v>
      </c>
      <c r="T130" s="700">
        <v>150</v>
      </c>
      <c r="U130" s="700"/>
      <c r="V130" s="700"/>
      <c r="W130" s="700"/>
      <c r="X130" s="700"/>
      <c r="Y130" s="699"/>
    </row>
    <row r="131" spans="12:25" x14ac:dyDescent="0.2">
      <c r="L131" s="700"/>
      <c r="M131" s="700"/>
      <c r="N131" s="700"/>
      <c r="O131" s="700"/>
      <c r="P131" s="700"/>
      <c r="Q131" s="700"/>
      <c r="R131" s="700"/>
      <c r="S131" s="700">
        <v>129</v>
      </c>
      <c r="T131" s="700">
        <v>150</v>
      </c>
      <c r="U131" s="700"/>
      <c r="V131" s="700"/>
      <c r="W131" s="700"/>
      <c r="X131" s="700"/>
      <c r="Y131" s="699"/>
    </row>
    <row r="132" spans="12:25" x14ac:dyDescent="0.2">
      <c r="L132" s="700"/>
      <c r="M132" s="700"/>
      <c r="N132" s="700"/>
      <c r="O132" s="700"/>
      <c r="P132" s="700"/>
      <c r="Q132" s="700"/>
      <c r="R132" s="700"/>
      <c r="S132" s="700">
        <v>130</v>
      </c>
      <c r="T132" s="700">
        <v>150</v>
      </c>
      <c r="U132" s="700"/>
      <c r="V132" s="700"/>
      <c r="W132" s="700"/>
      <c r="X132" s="700"/>
      <c r="Y132" s="699"/>
    </row>
    <row r="133" spans="12:25" x14ac:dyDescent="0.2">
      <c r="L133" s="700"/>
      <c r="M133" s="700"/>
      <c r="N133" s="700"/>
      <c r="O133" s="700"/>
      <c r="P133" s="700"/>
      <c r="Q133" s="700"/>
      <c r="R133" s="700"/>
      <c r="S133" s="700">
        <v>131</v>
      </c>
      <c r="T133" s="700">
        <v>150</v>
      </c>
      <c r="U133" s="700"/>
      <c r="V133" s="700"/>
      <c r="W133" s="700"/>
      <c r="X133" s="700"/>
      <c r="Y133" s="699"/>
    </row>
    <row r="134" spans="12:25" x14ac:dyDescent="0.2">
      <c r="L134" s="700"/>
      <c r="M134" s="700"/>
      <c r="N134" s="700"/>
      <c r="O134" s="700"/>
      <c r="P134" s="700"/>
      <c r="Q134" s="700"/>
      <c r="R134" s="700"/>
      <c r="S134" s="700">
        <v>132</v>
      </c>
      <c r="T134" s="700">
        <v>150</v>
      </c>
      <c r="U134" s="700"/>
      <c r="V134" s="700"/>
      <c r="W134" s="700"/>
      <c r="X134" s="700"/>
      <c r="Y134" s="699"/>
    </row>
    <row r="135" spans="12:25" x14ac:dyDescent="0.2">
      <c r="L135" s="700"/>
      <c r="M135" s="700"/>
      <c r="N135" s="700"/>
      <c r="O135" s="700"/>
      <c r="P135" s="700"/>
      <c r="Q135" s="700"/>
      <c r="R135" s="700"/>
      <c r="S135" s="700">
        <v>133</v>
      </c>
      <c r="T135" s="700">
        <v>150</v>
      </c>
      <c r="U135" s="700"/>
      <c r="V135" s="700"/>
      <c r="W135" s="700"/>
      <c r="X135" s="700"/>
      <c r="Y135" s="699"/>
    </row>
    <row r="136" spans="12:25" x14ac:dyDescent="0.2">
      <c r="L136" s="700"/>
      <c r="M136" s="700"/>
      <c r="N136" s="700"/>
      <c r="O136" s="700"/>
      <c r="P136" s="700"/>
      <c r="Q136" s="700"/>
      <c r="R136" s="700"/>
      <c r="S136" s="700">
        <v>134</v>
      </c>
      <c r="T136" s="700">
        <v>150</v>
      </c>
      <c r="U136" s="700"/>
      <c r="V136" s="700"/>
      <c r="W136" s="700"/>
      <c r="X136" s="700"/>
      <c r="Y136" s="699"/>
    </row>
    <row r="137" spans="12:25" x14ac:dyDescent="0.2">
      <c r="L137" s="700"/>
      <c r="M137" s="700"/>
      <c r="N137" s="700"/>
      <c r="O137" s="700"/>
      <c r="P137" s="700"/>
      <c r="Q137" s="700"/>
      <c r="R137" s="700"/>
      <c r="S137" s="700">
        <v>135</v>
      </c>
      <c r="T137" s="700">
        <v>150</v>
      </c>
      <c r="U137" s="700"/>
      <c r="V137" s="700"/>
      <c r="W137" s="700"/>
      <c r="X137" s="700"/>
      <c r="Y137" s="699"/>
    </row>
    <row r="138" spans="12:25" x14ac:dyDescent="0.2">
      <c r="L138" s="700"/>
      <c r="M138" s="700"/>
      <c r="N138" s="700"/>
      <c r="O138" s="700"/>
      <c r="P138" s="700"/>
      <c r="Q138" s="700"/>
      <c r="R138" s="700"/>
      <c r="S138" s="700">
        <v>136</v>
      </c>
      <c r="T138" s="700">
        <v>150</v>
      </c>
      <c r="U138" s="700"/>
      <c r="V138" s="700"/>
      <c r="W138" s="700"/>
      <c r="X138" s="700"/>
      <c r="Y138" s="699"/>
    </row>
    <row r="139" spans="12:25" x14ac:dyDescent="0.2">
      <c r="L139" s="700"/>
      <c r="M139" s="700"/>
      <c r="N139" s="700"/>
      <c r="O139" s="700"/>
      <c r="P139" s="700"/>
      <c r="Q139" s="700"/>
      <c r="R139" s="700"/>
      <c r="S139" s="700">
        <v>137</v>
      </c>
      <c r="T139" s="700">
        <v>150</v>
      </c>
      <c r="U139" s="700"/>
      <c r="V139" s="700"/>
      <c r="W139" s="700"/>
      <c r="X139" s="700"/>
      <c r="Y139" s="699"/>
    </row>
    <row r="140" spans="12:25" x14ac:dyDescent="0.2">
      <c r="L140" s="700"/>
      <c r="M140" s="700"/>
      <c r="N140" s="700"/>
      <c r="O140" s="700"/>
      <c r="P140" s="700"/>
      <c r="Q140" s="700"/>
      <c r="R140" s="700"/>
      <c r="S140" s="700">
        <v>138</v>
      </c>
      <c r="T140" s="700">
        <v>150</v>
      </c>
      <c r="U140" s="700"/>
      <c r="V140" s="700"/>
      <c r="W140" s="700"/>
      <c r="X140" s="700"/>
      <c r="Y140" s="699"/>
    </row>
    <row r="141" spans="12:25" x14ac:dyDescent="0.2">
      <c r="L141" s="700"/>
      <c r="M141" s="700"/>
      <c r="N141" s="700"/>
      <c r="O141" s="700"/>
      <c r="P141" s="700"/>
      <c r="Q141" s="700"/>
      <c r="R141" s="700"/>
      <c r="S141" s="700">
        <v>139</v>
      </c>
      <c r="T141" s="700">
        <v>150</v>
      </c>
      <c r="U141" s="700"/>
      <c r="V141" s="700"/>
      <c r="W141" s="700"/>
      <c r="X141" s="700"/>
      <c r="Y141" s="699"/>
    </row>
    <row r="142" spans="12:25" x14ac:dyDescent="0.2">
      <c r="L142" s="700"/>
      <c r="M142" s="700"/>
      <c r="N142" s="700"/>
      <c r="O142" s="700"/>
      <c r="P142" s="700"/>
      <c r="Q142" s="700"/>
      <c r="R142" s="700"/>
      <c r="S142" s="700">
        <v>140</v>
      </c>
      <c r="T142" s="700">
        <v>150</v>
      </c>
      <c r="U142" s="700"/>
      <c r="V142" s="700"/>
      <c r="W142" s="700"/>
      <c r="X142" s="700"/>
      <c r="Y142" s="699"/>
    </row>
    <row r="143" spans="12:25" x14ac:dyDescent="0.2">
      <c r="L143" s="700"/>
      <c r="M143" s="700"/>
      <c r="N143" s="700"/>
      <c r="O143" s="700"/>
      <c r="P143" s="700"/>
      <c r="Q143" s="700"/>
      <c r="R143" s="700"/>
      <c r="S143" s="700">
        <v>141</v>
      </c>
      <c r="T143" s="700">
        <v>150</v>
      </c>
      <c r="U143" s="700"/>
      <c r="V143" s="700"/>
      <c r="W143" s="700"/>
      <c r="X143" s="700"/>
      <c r="Y143" s="699"/>
    </row>
    <row r="144" spans="12:25" x14ac:dyDescent="0.2">
      <c r="L144" s="700"/>
      <c r="M144" s="700"/>
      <c r="N144" s="700"/>
      <c r="O144" s="700"/>
      <c r="P144" s="700"/>
      <c r="Q144" s="700"/>
      <c r="R144" s="700"/>
      <c r="S144" s="700">
        <v>142</v>
      </c>
      <c r="T144" s="700">
        <v>150</v>
      </c>
      <c r="U144" s="700"/>
      <c r="V144" s="700"/>
      <c r="W144" s="700"/>
      <c r="X144" s="700"/>
      <c r="Y144" s="699"/>
    </row>
    <row r="145" spans="12:25" x14ac:dyDescent="0.2">
      <c r="L145" s="700"/>
      <c r="M145" s="700"/>
      <c r="N145" s="700"/>
      <c r="O145" s="700"/>
      <c r="P145" s="700"/>
      <c r="Q145" s="700"/>
      <c r="R145" s="700"/>
      <c r="S145" s="700">
        <v>143</v>
      </c>
      <c r="T145" s="700">
        <v>150</v>
      </c>
      <c r="U145" s="700"/>
      <c r="V145" s="700"/>
      <c r="W145" s="700"/>
      <c r="X145" s="700"/>
      <c r="Y145" s="699"/>
    </row>
    <row r="146" spans="12:25" x14ac:dyDescent="0.2">
      <c r="L146" s="700"/>
      <c r="M146" s="700"/>
      <c r="N146" s="700"/>
      <c r="O146" s="700"/>
      <c r="P146" s="700"/>
      <c r="Q146" s="700"/>
      <c r="R146" s="700"/>
      <c r="S146" s="700">
        <v>144</v>
      </c>
      <c r="T146" s="700">
        <v>150</v>
      </c>
      <c r="U146" s="700"/>
      <c r="V146" s="700"/>
      <c r="W146" s="700"/>
      <c r="X146" s="700"/>
      <c r="Y146" s="699"/>
    </row>
    <row r="147" spans="12:25" x14ac:dyDescent="0.2">
      <c r="L147" s="700"/>
      <c r="M147" s="700"/>
      <c r="N147" s="700"/>
      <c r="O147" s="700"/>
      <c r="P147" s="700"/>
      <c r="Q147" s="700"/>
      <c r="R147" s="700"/>
      <c r="S147" s="700">
        <v>145</v>
      </c>
      <c r="T147" s="700">
        <v>150</v>
      </c>
      <c r="U147" s="700"/>
      <c r="V147" s="700"/>
      <c r="W147" s="700"/>
      <c r="X147" s="700"/>
      <c r="Y147" s="699"/>
    </row>
    <row r="148" spans="12:25" x14ac:dyDescent="0.2">
      <c r="L148" s="700"/>
      <c r="M148" s="700"/>
      <c r="N148" s="700"/>
      <c r="O148" s="700"/>
      <c r="P148" s="700"/>
      <c r="Q148" s="700"/>
      <c r="R148" s="700"/>
      <c r="S148" s="700">
        <v>146</v>
      </c>
      <c r="T148" s="700">
        <v>150</v>
      </c>
      <c r="U148" s="700"/>
      <c r="V148" s="700"/>
      <c r="W148" s="700"/>
      <c r="X148" s="700"/>
      <c r="Y148" s="699"/>
    </row>
    <row r="149" spans="12:25" x14ac:dyDescent="0.2">
      <c r="L149" s="700"/>
      <c r="M149" s="700"/>
      <c r="N149" s="700"/>
      <c r="O149" s="700"/>
      <c r="P149" s="700"/>
      <c r="Q149" s="700"/>
      <c r="R149" s="700"/>
      <c r="S149" s="700">
        <v>147</v>
      </c>
      <c r="T149" s="700">
        <v>150</v>
      </c>
      <c r="U149" s="700"/>
      <c r="V149" s="700"/>
      <c r="W149" s="700"/>
      <c r="X149" s="700"/>
      <c r="Y149" s="699"/>
    </row>
    <row r="150" spans="12:25" x14ac:dyDescent="0.2">
      <c r="L150" s="700"/>
      <c r="M150" s="700"/>
      <c r="N150" s="700"/>
      <c r="O150" s="700"/>
      <c r="P150" s="700"/>
      <c r="Q150" s="700"/>
      <c r="R150" s="700"/>
      <c r="S150" s="700">
        <v>148</v>
      </c>
      <c r="T150" s="700">
        <v>150</v>
      </c>
      <c r="U150" s="700"/>
      <c r="V150" s="700"/>
      <c r="W150" s="700"/>
      <c r="X150" s="700"/>
      <c r="Y150" s="699"/>
    </row>
    <row r="151" spans="12:25" x14ac:dyDescent="0.2">
      <c r="L151" s="700"/>
      <c r="M151" s="700"/>
      <c r="N151" s="700"/>
      <c r="O151" s="700"/>
      <c r="P151" s="700"/>
      <c r="Q151" s="700"/>
      <c r="R151" s="700"/>
      <c r="S151" s="700">
        <v>149</v>
      </c>
      <c r="T151" s="700">
        <v>150</v>
      </c>
      <c r="U151" s="700"/>
      <c r="V151" s="700"/>
      <c r="W151" s="700"/>
      <c r="X151" s="700"/>
      <c r="Y151" s="699"/>
    </row>
    <row r="152" spans="12:25" x14ac:dyDescent="0.2">
      <c r="L152" s="700"/>
      <c r="M152" s="700"/>
      <c r="N152" s="700"/>
      <c r="O152" s="700"/>
      <c r="P152" s="700"/>
      <c r="Q152" s="700"/>
      <c r="R152" s="700"/>
      <c r="S152" s="700">
        <v>150</v>
      </c>
      <c r="T152" s="700">
        <v>150</v>
      </c>
      <c r="U152" s="700">
        <v>150</v>
      </c>
      <c r="V152" s="700"/>
      <c r="W152" s="700"/>
      <c r="X152" s="700"/>
      <c r="Y152" s="699"/>
    </row>
    <row r="153" spans="12:25" x14ac:dyDescent="0.2">
      <c r="L153" s="700"/>
      <c r="M153" s="700"/>
      <c r="N153" s="700"/>
      <c r="O153" s="700"/>
      <c r="P153" s="700"/>
      <c r="Q153" s="700"/>
      <c r="R153" s="700"/>
      <c r="S153" s="700">
        <v>151</v>
      </c>
      <c r="T153" s="700">
        <v>150</v>
      </c>
      <c r="U153" s="700"/>
      <c r="V153" s="700"/>
      <c r="W153" s="700"/>
      <c r="X153" s="700"/>
      <c r="Y153" s="699"/>
    </row>
    <row r="154" spans="12:25" x14ac:dyDescent="0.2">
      <c r="L154" s="700"/>
      <c r="M154" s="700"/>
      <c r="N154" s="700"/>
      <c r="O154" s="700"/>
      <c r="P154" s="700"/>
      <c r="Q154" s="700"/>
      <c r="R154" s="700"/>
      <c r="S154" s="700">
        <v>152</v>
      </c>
      <c r="T154" s="700">
        <v>150</v>
      </c>
      <c r="U154" s="700"/>
      <c r="V154" s="700"/>
      <c r="W154" s="700"/>
      <c r="X154" s="700"/>
      <c r="Y154" s="699"/>
    </row>
    <row r="155" spans="12:25" x14ac:dyDescent="0.2">
      <c r="L155" s="700"/>
      <c r="M155" s="700"/>
      <c r="N155" s="700"/>
      <c r="O155" s="700"/>
      <c r="P155" s="700"/>
      <c r="Q155" s="700"/>
      <c r="R155" s="700"/>
      <c r="S155" s="700">
        <v>153</v>
      </c>
      <c r="T155" s="700">
        <v>150</v>
      </c>
      <c r="U155" s="700"/>
      <c r="V155" s="700"/>
      <c r="W155" s="700"/>
      <c r="X155" s="700"/>
      <c r="Y155" s="699"/>
    </row>
    <row r="156" spans="12:25" x14ac:dyDescent="0.2">
      <c r="L156" s="700"/>
      <c r="M156" s="700"/>
      <c r="N156" s="700"/>
      <c r="O156" s="700"/>
      <c r="P156" s="700"/>
      <c r="Q156" s="700"/>
      <c r="R156" s="700"/>
      <c r="S156" s="700">
        <v>154</v>
      </c>
      <c r="T156" s="700">
        <v>150</v>
      </c>
      <c r="U156" s="700"/>
      <c r="V156" s="700"/>
      <c r="W156" s="700"/>
      <c r="X156" s="700"/>
      <c r="Y156" s="699"/>
    </row>
    <row r="157" spans="12:25" x14ac:dyDescent="0.2">
      <c r="L157" s="700"/>
      <c r="M157" s="700"/>
      <c r="N157" s="700"/>
      <c r="O157" s="700"/>
      <c r="P157" s="700"/>
      <c r="Q157" s="700"/>
      <c r="R157" s="700"/>
      <c r="S157" s="700">
        <v>155</v>
      </c>
      <c r="T157" s="700">
        <v>150</v>
      </c>
      <c r="U157" s="700"/>
      <c r="V157" s="700"/>
      <c r="W157" s="700"/>
      <c r="X157" s="700"/>
      <c r="Y157" s="699"/>
    </row>
    <row r="158" spans="12:25" x14ac:dyDescent="0.2">
      <c r="L158" s="700"/>
      <c r="M158" s="700"/>
      <c r="N158" s="700"/>
      <c r="O158" s="700"/>
      <c r="P158" s="700"/>
      <c r="Q158" s="700"/>
      <c r="R158" s="700"/>
      <c r="S158" s="700">
        <v>156</v>
      </c>
      <c r="T158" s="700">
        <v>150</v>
      </c>
      <c r="U158" s="700"/>
      <c r="V158" s="700"/>
      <c r="W158" s="700"/>
      <c r="X158" s="700"/>
      <c r="Y158" s="699"/>
    </row>
    <row r="159" spans="12:25" x14ac:dyDescent="0.2">
      <c r="L159" s="700"/>
      <c r="M159" s="700"/>
      <c r="N159" s="700"/>
      <c r="O159" s="700"/>
      <c r="P159" s="700"/>
      <c r="Q159" s="700"/>
      <c r="R159" s="700"/>
      <c r="S159" s="700">
        <v>157</v>
      </c>
      <c r="T159" s="700">
        <v>150</v>
      </c>
      <c r="U159" s="700"/>
      <c r="V159" s="700"/>
      <c r="W159" s="700"/>
      <c r="X159" s="700"/>
      <c r="Y159" s="699"/>
    </row>
    <row r="160" spans="12:25" x14ac:dyDescent="0.2">
      <c r="L160" s="700"/>
      <c r="M160" s="700"/>
      <c r="N160" s="700"/>
      <c r="O160" s="700"/>
      <c r="P160" s="700"/>
      <c r="Q160" s="700"/>
      <c r="R160" s="700"/>
      <c r="S160" s="700">
        <v>158</v>
      </c>
      <c r="T160" s="700">
        <v>150</v>
      </c>
      <c r="U160" s="700"/>
      <c r="V160" s="700"/>
      <c r="W160" s="700"/>
      <c r="X160" s="700"/>
      <c r="Y160" s="699"/>
    </row>
    <row r="161" spans="12:25" x14ac:dyDescent="0.2">
      <c r="L161" s="700"/>
      <c r="M161" s="700"/>
      <c r="N161" s="700"/>
      <c r="O161" s="700"/>
      <c r="P161" s="700"/>
      <c r="Q161" s="700"/>
      <c r="R161" s="700"/>
      <c r="S161" s="700">
        <v>159</v>
      </c>
      <c r="T161" s="700">
        <v>150</v>
      </c>
      <c r="U161" s="700"/>
      <c r="V161" s="700"/>
      <c r="W161" s="700"/>
      <c r="X161" s="700"/>
      <c r="Y161" s="699"/>
    </row>
    <row r="162" spans="12:25" x14ac:dyDescent="0.2">
      <c r="L162" s="700"/>
      <c r="M162" s="700"/>
      <c r="N162" s="700"/>
      <c r="O162" s="700"/>
      <c r="P162" s="700"/>
      <c r="Q162" s="700"/>
      <c r="R162" s="700"/>
      <c r="S162" s="700">
        <v>160</v>
      </c>
      <c r="T162" s="700">
        <v>150</v>
      </c>
      <c r="U162" s="700"/>
      <c r="V162" s="700"/>
      <c r="W162" s="700"/>
      <c r="X162" s="700"/>
      <c r="Y162" s="699"/>
    </row>
    <row r="163" spans="12:25" x14ac:dyDescent="0.2">
      <c r="L163" s="700"/>
      <c r="M163" s="700"/>
      <c r="N163" s="700"/>
      <c r="O163" s="700"/>
      <c r="P163" s="700"/>
      <c r="Q163" s="700"/>
      <c r="R163" s="700"/>
      <c r="S163" s="700">
        <v>161</v>
      </c>
      <c r="T163" s="700">
        <v>150</v>
      </c>
      <c r="U163" s="700"/>
      <c r="V163" s="700"/>
      <c r="W163" s="700"/>
      <c r="X163" s="700"/>
      <c r="Y163" s="699"/>
    </row>
    <row r="164" spans="12:25" x14ac:dyDescent="0.2">
      <c r="L164" s="700"/>
      <c r="M164" s="700"/>
      <c r="N164" s="700"/>
      <c r="O164" s="700"/>
      <c r="P164" s="700"/>
      <c r="Q164" s="700"/>
      <c r="R164" s="700"/>
      <c r="S164" s="700">
        <v>162</v>
      </c>
      <c r="T164" s="700">
        <v>150</v>
      </c>
      <c r="U164" s="700"/>
      <c r="V164" s="700"/>
      <c r="W164" s="700"/>
      <c r="X164" s="700"/>
      <c r="Y164" s="699"/>
    </row>
    <row r="165" spans="12:25" x14ac:dyDescent="0.2">
      <c r="L165" s="700"/>
      <c r="M165" s="700"/>
      <c r="N165" s="700"/>
      <c r="O165" s="700"/>
      <c r="P165" s="700"/>
      <c r="Q165" s="700"/>
      <c r="R165" s="700"/>
      <c r="S165" s="700">
        <v>163</v>
      </c>
      <c r="T165" s="700">
        <v>150</v>
      </c>
      <c r="U165" s="700"/>
      <c r="V165" s="700"/>
      <c r="W165" s="700"/>
      <c r="X165" s="700"/>
      <c r="Y165" s="699"/>
    </row>
    <row r="166" spans="12:25" x14ac:dyDescent="0.2">
      <c r="L166" s="700"/>
      <c r="M166" s="700"/>
      <c r="N166" s="700"/>
      <c r="O166" s="700"/>
      <c r="P166" s="700"/>
      <c r="Q166" s="700"/>
      <c r="R166" s="700"/>
      <c r="S166" s="700">
        <v>164</v>
      </c>
      <c r="T166" s="700">
        <v>150</v>
      </c>
      <c r="U166" s="700"/>
      <c r="V166" s="700"/>
      <c r="W166" s="700"/>
      <c r="X166" s="700"/>
      <c r="Y166" s="699"/>
    </row>
    <row r="167" spans="12:25" x14ac:dyDescent="0.2">
      <c r="L167" s="700"/>
      <c r="M167" s="700"/>
      <c r="N167" s="700"/>
      <c r="O167" s="700"/>
      <c r="P167" s="700"/>
      <c r="Q167" s="700"/>
      <c r="R167" s="700"/>
      <c r="S167" s="700">
        <v>165</v>
      </c>
      <c r="T167" s="700">
        <v>150</v>
      </c>
      <c r="U167" s="700"/>
      <c r="V167" s="700"/>
      <c r="W167" s="700"/>
      <c r="X167" s="700"/>
      <c r="Y167" s="699"/>
    </row>
    <row r="168" spans="12:25" x14ac:dyDescent="0.2">
      <c r="L168" s="700"/>
      <c r="M168" s="700"/>
      <c r="N168" s="700"/>
      <c r="O168" s="700"/>
      <c r="P168" s="700"/>
      <c r="Q168" s="700"/>
      <c r="R168" s="700"/>
      <c r="S168" s="700">
        <v>166</v>
      </c>
      <c r="T168" s="700">
        <v>150</v>
      </c>
      <c r="U168" s="700"/>
      <c r="V168" s="700"/>
      <c r="W168" s="700"/>
      <c r="X168" s="700"/>
      <c r="Y168" s="699"/>
    </row>
    <row r="169" spans="12:25" x14ac:dyDescent="0.2">
      <c r="L169" s="700"/>
      <c r="M169" s="700"/>
      <c r="N169" s="700"/>
      <c r="O169" s="700"/>
      <c r="P169" s="700"/>
      <c r="Q169" s="700"/>
      <c r="R169" s="700"/>
      <c r="S169" s="700">
        <v>167</v>
      </c>
      <c r="T169" s="700">
        <v>150</v>
      </c>
      <c r="U169" s="700"/>
      <c r="V169" s="700"/>
      <c r="W169" s="700"/>
      <c r="X169" s="700"/>
      <c r="Y169" s="699"/>
    </row>
    <row r="170" spans="12:25" x14ac:dyDescent="0.2">
      <c r="L170" s="700"/>
      <c r="M170" s="700"/>
      <c r="N170" s="700"/>
      <c r="O170" s="700"/>
      <c r="P170" s="700"/>
      <c r="Q170" s="700"/>
      <c r="R170" s="700"/>
      <c r="S170" s="700">
        <v>168</v>
      </c>
      <c r="T170" s="700">
        <v>150</v>
      </c>
      <c r="U170" s="700"/>
      <c r="V170" s="700"/>
      <c r="W170" s="700"/>
      <c r="X170" s="700"/>
      <c r="Y170" s="699"/>
    </row>
    <row r="171" spans="12:25" x14ac:dyDescent="0.2">
      <c r="L171" s="700"/>
      <c r="M171" s="700"/>
      <c r="N171" s="700"/>
      <c r="O171" s="700"/>
      <c r="P171" s="700"/>
      <c r="Q171" s="700"/>
      <c r="R171" s="700"/>
      <c r="S171" s="700">
        <v>169</v>
      </c>
      <c r="T171" s="700">
        <v>150</v>
      </c>
      <c r="U171" s="700"/>
      <c r="V171" s="700"/>
      <c r="W171" s="700"/>
      <c r="X171" s="700"/>
      <c r="Y171" s="699"/>
    </row>
    <row r="172" spans="12:25" x14ac:dyDescent="0.2">
      <c r="L172" s="700"/>
      <c r="M172" s="700"/>
      <c r="N172" s="700"/>
      <c r="O172" s="700"/>
      <c r="P172" s="700"/>
      <c r="Q172" s="700"/>
      <c r="R172" s="700"/>
      <c r="S172" s="700">
        <v>170</v>
      </c>
      <c r="T172" s="700">
        <v>150</v>
      </c>
      <c r="U172" s="700"/>
      <c r="V172" s="700"/>
      <c r="W172" s="700"/>
      <c r="X172" s="700"/>
      <c r="Y172" s="699"/>
    </row>
    <row r="173" spans="12:25" x14ac:dyDescent="0.2">
      <c r="L173" s="700"/>
      <c r="M173" s="700"/>
      <c r="N173" s="700"/>
      <c r="O173" s="700"/>
      <c r="P173" s="700"/>
      <c r="Q173" s="700"/>
      <c r="R173" s="700"/>
      <c r="S173" s="700">
        <v>171</v>
      </c>
      <c r="T173" s="700">
        <v>150</v>
      </c>
      <c r="U173" s="700"/>
      <c r="V173" s="700"/>
      <c r="W173" s="700"/>
      <c r="X173" s="700"/>
      <c r="Y173" s="699"/>
    </row>
    <row r="174" spans="12:25" x14ac:dyDescent="0.2">
      <c r="L174" s="700"/>
      <c r="M174" s="700"/>
      <c r="N174" s="700"/>
      <c r="O174" s="700"/>
      <c r="P174" s="700"/>
      <c r="Q174" s="700"/>
      <c r="R174" s="700"/>
      <c r="S174" s="700">
        <v>172</v>
      </c>
      <c r="T174" s="700">
        <v>150</v>
      </c>
      <c r="U174" s="700"/>
      <c r="V174" s="700"/>
      <c r="W174" s="700"/>
      <c r="X174" s="700"/>
      <c r="Y174" s="699"/>
    </row>
    <row r="175" spans="12:25" x14ac:dyDescent="0.2">
      <c r="L175" s="700"/>
      <c r="M175" s="700"/>
      <c r="N175" s="700"/>
      <c r="O175" s="700"/>
      <c r="P175" s="700"/>
      <c r="Q175" s="700"/>
      <c r="R175" s="700"/>
      <c r="S175" s="700">
        <v>173</v>
      </c>
      <c r="T175" s="700">
        <v>150</v>
      </c>
      <c r="U175" s="700"/>
      <c r="V175" s="700"/>
      <c r="W175" s="700"/>
      <c r="X175" s="700"/>
      <c r="Y175" s="699"/>
    </row>
    <row r="176" spans="12:25" x14ac:dyDescent="0.2">
      <c r="L176" s="700"/>
      <c r="M176" s="700"/>
      <c r="N176" s="700"/>
      <c r="O176" s="700"/>
      <c r="P176" s="700"/>
      <c r="Q176" s="700"/>
      <c r="R176" s="700"/>
      <c r="S176" s="700">
        <v>174</v>
      </c>
      <c r="T176" s="700">
        <v>150</v>
      </c>
      <c r="U176" s="700"/>
      <c r="V176" s="700"/>
      <c r="W176" s="700"/>
      <c r="X176" s="700"/>
      <c r="Y176" s="699"/>
    </row>
    <row r="177" spans="12:25" x14ac:dyDescent="0.2">
      <c r="L177" s="700"/>
      <c r="M177" s="700"/>
      <c r="N177" s="700"/>
      <c r="O177" s="700"/>
      <c r="P177" s="700"/>
      <c r="Q177" s="700"/>
      <c r="R177" s="700"/>
      <c r="S177" s="700">
        <v>175</v>
      </c>
      <c r="T177" s="700">
        <v>150</v>
      </c>
      <c r="U177" s="700"/>
      <c r="V177" s="700"/>
      <c r="W177" s="700"/>
      <c r="X177" s="700"/>
      <c r="Y177" s="699"/>
    </row>
    <row r="178" spans="12:25" x14ac:dyDescent="0.2">
      <c r="L178" s="700"/>
      <c r="M178" s="700"/>
      <c r="N178" s="700"/>
      <c r="O178" s="700"/>
      <c r="P178" s="700"/>
      <c r="Q178" s="700"/>
      <c r="R178" s="700"/>
      <c r="S178" s="700">
        <v>176</v>
      </c>
      <c r="T178" s="700">
        <v>150</v>
      </c>
      <c r="U178" s="700"/>
      <c r="V178" s="700"/>
      <c r="W178" s="700"/>
      <c r="X178" s="700"/>
      <c r="Y178" s="699"/>
    </row>
    <row r="179" spans="12:25" x14ac:dyDescent="0.2">
      <c r="L179" s="700"/>
      <c r="M179" s="700"/>
      <c r="N179" s="700"/>
      <c r="O179" s="700"/>
      <c r="P179" s="700"/>
      <c r="Q179" s="700"/>
      <c r="R179" s="700"/>
      <c r="S179" s="700">
        <v>177</v>
      </c>
      <c r="T179" s="700">
        <v>150</v>
      </c>
      <c r="U179" s="700"/>
      <c r="V179" s="700"/>
      <c r="W179" s="700"/>
      <c r="X179" s="700"/>
      <c r="Y179" s="699"/>
    </row>
    <row r="180" spans="12:25" x14ac:dyDescent="0.2">
      <c r="L180" s="700"/>
      <c r="M180" s="700"/>
      <c r="N180" s="700"/>
      <c r="O180" s="700"/>
      <c r="P180" s="700"/>
      <c r="Q180" s="700"/>
      <c r="R180" s="700"/>
      <c r="S180" s="700">
        <v>178</v>
      </c>
      <c r="T180" s="700">
        <v>150</v>
      </c>
      <c r="U180" s="700"/>
      <c r="V180" s="700"/>
      <c r="W180" s="700"/>
      <c r="X180" s="700"/>
      <c r="Y180" s="699"/>
    </row>
    <row r="181" spans="12:25" x14ac:dyDescent="0.2">
      <c r="L181" s="700"/>
      <c r="M181" s="700"/>
      <c r="N181" s="700"/>
      <c r="O181" s="700"/>
      <c r="P181" s="700"/>
      <c r="Q181" s="700"/>
      <c r="R181" s="700"/>
      <c r="S181" s="700">
        <v>179</v>
      </c>
      <c r="T181" s="700">
        <v>150</v>
      </c>
      <c r="U181" s="700"/>
      <c r="V181" s="700"/>
      <c r="W181" s="700"/>
      <c r="X181" s="700"/>
      <c r="Y181" s="699"/>
    </row>
    <row r="182" spans="12:25" x14ac:dyDescent="0.2">
      <c r="L182" s="700"/>
      <c r="M182" s="700"/>
      <c r="N182" s="700"/>
      <c r="O182" s="700"/>
      <c r="P182" s="700"/>
      <c r="Q182" s="700"/>
      <c r="R182" s="700"/>
      <c r="S182" s="700">
        <v>180</v>
      </c>
      <c r="T182" s="700">
        <v>150</v>
      </c>
      <c r="U182" s="700"/>
      <c r="V182" s="700"/>
      <c r="W182" s="700"/>
      <c r="X182" s="700"/>
      <c r="Y182" s="699"/>
    </row>
    <row r="183" spans="12:25" x14ac:dyDescent="0.2">
      <c r="L183" s="700"/>
      <c r="M183" s="700"/>
      <c r="N183" s="700"/>
      <c r="O183" s="700"/>
      <c r="P183" s="700"/>
      <c r="Q183" s="700"/>
      <c r="R183" s="700"/>
      <c r="S183" s="700">
        <v>181</v>
      </c>
      <c r="T183" s="700">
        <v>150</v>
      </c>
      <c r="U183" s="700"/>
      <c r="V183" s="700"/>
      <c r="W183" s="700"/>
      <c r="X183" s="700"/>
      <c r="Y183" s="699"/>
    </row>
    <row r="184" spans="12:25" x14ac:dyDescent="0.2">
      <c r="L184" s="700"/>
      <c r="M184" s="700"/>
      <c r="N184" s="700"/>
      <c r="O184" s="700"/>
      <c r="P184" s="700"/>
      <c r="Q184" s="700"/>
      <c r="R184" s="700"/>
      <c r="S184" s="700">
        <v>182</v>
      </c>
      <c r="T184" s="700">
        <v>150</v>
      </c>
      <c r="U184" s="700"/>
      <c r="V184" s="700"/>
      <c r="W184" s="700"/>
      <c r="X184" s="700"/>
      <c r="Y184" s="699"/>
    </row>
    <row r="185" spans="12:25" x14ac:dyDescent="0.2">
      <c r="L185" s="700"/>
      <c r="M185" s="700"/>
      <c r="N185" s="700"/>
      <c r="O185" s="700"/>
      <c r="P185" s="700"/>
      <c r="Q185" s="700"/>
      <c r="R185" s="700"/>
      <c r="S185" s="700">
        <v>183</v>
      </c>
      <c r="T185" s="700">
        <v>150</v>
      </c>
      <c r="U185" s="700"/>
      <c r="V185" s="700"/>
      <c r="W185" s="700"/>
      <c r="X185" s="700"/>
      <c r="Y185" s="699"/>
    </row>
    <row r="186" spans="12:25" x14ac:dyDescent="0.2">
      <c r="L186" s="700"/>
      <c r="M186" s="700"/>
      <c r="N186" s="700"/>
      <c r="O186" s="700"/>
      <c r="P186" s="700"/>
      <c r="Q186" s="700"/>
      <c r="R186" s="700"/>
      <c r="S186" s="700">
        <v>184</v>
      </c>
      <c r="T186" s="700">
        <v>150</v>
      </c>
      <c r="U186" s="700"/>
      <c r="V186" s="700"/>
      <c r="W186" s="700"/>
      <c r="X186" s="700"/>
      <c r="Y186" s="699"/>
    </row>
    <row r="187" spans="12:25" x14ac:dyDescent="0.2">
      <c r="L187" s="700"/>
      <c r="M187" s="700"/>
      <c r="N187" s="700"/>
      <c r="O187" s="700"/>
      <c r="P187" s="700"/>
      <c r="Q187" s="700"/>
      <c r="R187" s="700"/>
      <c r="S187" s="700">
        <v>185</v>
      </c>
      <c r="T187" s="700">
        <v>150</v>
      </c>
      <c r="U187" s="700"/>
      <c r="V187" s="700"/>
      <c r="W187" s="700"/>
      <c r="X187" s="700"/>
      <c r="Y187" s="699"/>
    </row>
    <row r="188" spans="12:25" x14ac:dyDescent="0.2">
      <c r="L188" s="700"/>
      <c r="M188" s="700"/>
      <c r="N188" s="700"/>
      <c r="O188" s="700"/>
      <c r="P188" s="700"/>
      <c r="Q188" s="700"/>
      <c r="R188" s="700"/>
      <c r="S188" s="700">
        <v>186</v>
      </c>
      <c r="T188" s="700">
        <v>150</v>
      </c>
      <c r="U188" s="700"/>
      <c r="V188" s="700"/>
      <c r="W188" s="700"/>
      <c r="X188" s="700"/>
      <c r="Y188" s="699"/>
    </row>
    <row r="189" spans="12:25" x14ac:dyDescent="0.2">
      <c r="L189" s="700"/>
      <c r="M189" s="700"/>
      <c r="N189" s="700"/>
      <c r="O189" s="700"/>
      <c r="P189" s="700"/>
      <c r="Q189" s="700"/>
      <c r="R189" s="700"/>
      <c r="S189" s="700">
        <v>187</v>
      </c>
      <c r="T189" s="700">
        <v>150</v>
      </c>
      <c r="U189" s="700"/>
      <c r="V189" s="700"/>
      <c r="W189" s="700"/>
      <c r="X189" s="700"/>
      <c r="Y189" s="699"/>
    </row>
    <row r="190" spans="12:25" x14ac:dyDescent="0.2">
      <c r="L190" s="700"/>
      <c r="M190" s="700"/>
      <c r="N190" s="700"/>
      <c r="O190" s="700"/>
      <c r="P190" s="700"/>
      <c r="Q190" s="700"/>
      <c r="R190" s="700"/>
      <c r="S190" s="700">
        <v>188</v>
      </c>
      <c r="T190" s="700">
        <v>150</v>
      </c>
      <c r="U190" s="700"/>
      <c r="V190" s="700"/>
      <c r="W190" s="700"/>
      <c r="X190" s="700"/>
      <c r="Y190" s="699"/>
    </row>
    <row r="191" spans="12:25" x14ac:dyDescent="0.2">
      <c r="L191" s="700"/>
      <c r="M191" s="700"/>
      <c r="N191" s="700"/>
      <c r="O191" s="700"/>
      <c r="P191" s="700"/>
      <c r="Q191" s="700"/>
      <c r="R191" s="700"/>
      <c r="S191" s="700">
        <v>189</v>
      </c>
      <c r="T191" s="700">
        <v>150</v>
      </c>
      <c r="U191" s="700"/>
      <c r="V191" s="700"/>
      <c r="W191" s="700"/>
      <c r="X191" s="700"/>
      <c r="Y191" s="699"/>
    </row>
    <row r="192" spans="12:25" x14ac:dyDescent="0.2">
      <c r="L192" s="700"/>
      <c r="M192" s="700"/>
      <c r="N192" s="700"/>
      <c r="O192" s="700"/>
      <c r="P192" s="700"/>
      <c r="Q192" s="700"/>
      <c r="R192" s="700"/>
      <c r="S192" s="700">
        <v>190</v>
      </c>
      <c r="T192" s="700">
        <v>150</v>
      </c>
      <c r="U192" s="700"/>
      <c r="V192" s="700"/>
      <c r="W192" s="700"/>
      <c r="X192" s="700"/>
      <c r="Y192" s="699"/>
    </row>
    <row r="193" spans="12:25" x14ac:dyDescent="0.2">
      <c r="L193" s="700"/>
      <c r="M193" s="700"/>
      <c r="N193" s="700"/>
      <c r="O193" s="700"/>
      <c r="P193" s="700"/>
      <c r="Q193" s="700"/>
      <c r="R193" s="700"/>
      <c r="S193" s="700">
        <v>191</v>
      </c>
      <c r="T193" s="700">
        <v>150</v>
      </c>
      <c r="U193" s="700"/>
      <c r="V193" s="700"/>
      <c r="W193" s="700"/>
      <c r="X193" s="700"/>
      <c r="Y193" s="699"/>
    </row>
    <row r="194" spans="12:25" x14ac:dyDescent="0.2">
      <c r="L194" s="700"/>
      <c r="M194" s="700"/>
      <c r="N194" s="700"/>
      <c r="O194" s="700"/>
      <c r="P194" s="700"/>
      <c r="Q194" s="700"/>
      <c r="R194" s="700"/>
      <c r="S194" s="700">
        <v>192</v>
      </c>
      <c r="T194" s="700">
        <v>150</v>
      </c>
      <c r="U194" s="700"/>
      <c r="V194" s="700"/>
      <c r="W194" s="700"/>
      <c r="X194" s="700"/>
      <c r="Y194" s="699"/>
    </row>
    <row r="195" spans="12:25" x14ac:dyDescent="0.2">
      <c r="L195" s="700"/>
      <c r="M195" s="700"/>
      <c r="N195" s="700"/>
      <c r="O195" s="700"/>
      <c r="P195" s="700"/>
      <c r="Q195" s="700"/>
      <c r="R195" s="700"/>
      <c r="S195" s="700">
        <v>193</v>
      </c>
      <c r="T195" s="700">
        <v>150</v>
      </c>
      <c r="U195" s="700"/>
      <c r="V195" s="700"/>
      <c r="W195" s="700"/>
      <c r="X195" s="700"/>
      <c r="Y195" s="699"/>
    </row>
    <row r="196" spans="12:25" x14ac:dyDescent="0.2">
      <c r="L196" s="700"/>
      <c r="M196" s="700"/>
      <c r="N196" s="700"/>
      <c r="O196" s="700"/>
      <c r="P196" s="700"/>
      <c r="Q196" s="700"/>
      <c r="R196" s="700"/>
      <c r="S196" s="700">
        <v>194</v>
      </c>
      <c r="T196" s="700">
        <v>150</v>
      </c>
      <c r="U196" s="700"/>
      <c r="V196" s="700"/>
      <c r="W196" s="700"/>
      <c r="X196" s="700"/>
      <c r="Y196" s="699"/>
    </row>
    <row r="197" spans="12:25" x14ac:dyDescent="0.2">
      <c r="L197" s="700"/>
      <c r="M197" s="700"/>
      <c r="N197" s="700"/>
      <c r="O197" s="700"/>
      <c r="P197" s="700"/>
      <c r="Q197" s="700"/>
      <c r="R197" s="700"/>
      <c r="S197" s="700">
        <v>195</v>
      </c>
      <c r="T197" s="700">
        <v>150</v>
      </c>
      <c r="U197" s="700"/>
      <c r="V197" s="700"/>
      <c r="W197" s="700"/>
      <c r="X197" s="700"/>
      <c r="Y197" s="699"/>
    </row>
    <row r="198" spans="12:25" x14ac:dyDescent="0.2">
      <c r="L198" s="700"/>
      <c r="M198" s="700"/>
      <c r="N198" s="700"/>
      <c r="O198" s="700"/>
      <c r="P198" s="700"/>
      <c r="Q198" s="700"/>
      <c r="R198" s="700"/>
      <c r="S198" s="700">
        <v>196</v>
      </c>
      <c r="T198" s="700">
        <v>150</v>
      </c>
      <c r="U198" s="700"/>
      <c r="V198" s="700"/>
      <c r="W198" s="700"/>
      <c r="X198" s="700"/>
      <c r="Y198" s="699"/>
    </row>
    <row r="199" spans="12:25" x14ac:dyDescent="0.2">
      <c r="L199" s="700"/>
      <c r="M199" s="700"/>
      <c r="N199" s="700"/>
      <c r="O199" s="700"/>
      <c r="P199" s="700"/>
      <c r="Q199" s="700"/>
      <c r="R199" s="700"/>
      <c r="S199" s="700">
        <v>197</v>
      </c>
      <c r="T199" s="700">
        <v>150</v>
      </c>
      <c r="U199" s="700"/>
      <c r="V199" s="700"/>
      <c r="W199" s="700"/>
      <c r="X199" s="700"/>
      <c r="Y199" s="699"/>
    </row>
    <row r="200" spans="12:25" x14ac:dyDescent="0.2">
      <c r="L200" s="700"/>
      <c r="M200" s="700"/>
      <c r="N200" s="700"/>
      <c r="O200" s="700"/>
      <c r="P200" s="700"/>
      <c r="Q200" s="700"/>
      <c r="R200" s="700"/>
      <c r="S200" s="700">
        <v>198</v>
      </c>
      <c r="T200" s="700">
        <v>150</v>
      </c>
      <c r="U200" s="700"/>
      <c r="V200" s="700"/>
      <c r="W200" s="700"/>
      <c r="X200" s="700"/>
      <c r="Y200" s="699"/>
    </row>
    <row r="201" spans="12:25" x14ac:dyDescent="0.2">
      <c r="L201" s="700"/>
      <c r="M201" s="700"/>
      <c r="N201" s="700"/>
      <c r="O201" s="700"/>
      <c r="P201" s="700"/>
      <c r="Q201" s="700"/>
      <c r="R201" s="700"/>
      <c r="S201" s="700">
        <v>199</v>
      </c>
      <c r="T201" s="700">
        <v>150</v>
      </c>
      <c r="U201" s="700"/>
      <c r="V201" s="700"/>
      <c r="W201" s="700"/>
      <c r="X201" s="700"/>
      <c r="Y201" s="699"/>
    </row>
    <row r="202" spans="12:25" x14ac:dyDescent="0.2">
      <c r="L202" s="700"/>
      <c r="M202" s="700"/>
      <c r="N202" s="700"/>
      <c r="O202" s="700"/>
      <c r="P202" s="700"/>
      <c r="Q202" s="700"/>
      <c r="R202" s="700"/>
      <c r="S202" s="700">
        <v>200</v>
      </c>
      <c r="T202" s="700">
        <v>150</v>
      </c>
      <c r="U202" s="700">
        <v>200</v>
      </c>
      <c r="V202" s="700"/>
      <c r="W202" s="700"/>
      <c r="X202" s="700"/>
      <c r="Y202" s="699"/>
    </row>
    <row r="203" spans="12:25" x14ac:dyDescent="0.2">
      <c r="L203" s="700"/>
      <c r="M203" s="700"/>
      <c r="N203" s="700"/>
      <c r="O203" s="700"/>
      <c r="P203" s="700"/>
      <c r="Q203" s="700"/>
      <c r="R203" s="700"/>
      <c r="S203" s="700">
        <v>201</v>
      </c>
      <c r="T203" s="700">
        <v>150</v>
      </c>
      <c r="U203" s="700"/>
      <c r="V203" s="700"/>
      <c r="W203" s="700"/>
      <c r="X203" s="700"/>
      <c r="Y203" s="699"/>
    </row>
    <row r="204" spans="12:25" x14ac:dyDescent="0.2">
      <c r="L204" s="700"/>
      <c r="M204" s="700"/>
      <c r="N204" s="700"/>
      <c r="O204" s="700"/>
      <c r="P204" s="700"/>
      <c r="Q204" s="700"/>
      <c r="R204" s="700"/>
      <c r="S204" s="700">
        <v>202</v>
      </c>
      <c r="T204" s="700">
        <v>150</v>
      </c>
      <c r="U204" s="700"/>
      <c r="V204" s="700"/>
      <c r="W204" s="700"/>
      <c r="X204" s="700"/>
      <c r="Y204" s="699"/>
    </row>
    <row r="205" spans="12:25" x14ac:dyDescent="0.2">
      <c r="L205" s="700"/>
      <c r="M205" s="700"/>
      <c r="N205" s="700"/>
      <c r="O205" s="700"/>
      <c r="P205" s="700"/>
      <c r="Q205" s="700"/>
      <c r="R205" s="700"/>
      <c r="S205" s="700">
        <v>203</v>
      </c>
      <c r="T205" s="700">
        <v>150</v>
      </c>
      <c r="U205" s="700"/>
      <c r="V205" s="700"/>
      <c r="W205" s="700"/>
      <c r="X205" s="700"/>
      <c r="Y205" s="699"/>
    </row>
    <row r="206" spans="12:25" x14ac:dyDescent="0.2">
      <c r="L206" s="700"/>
      <c r="M206" s="700"/>
      <c r="N206" s="700"/>
      <c r="O206" s="700"/>
      <c r="P206" s="700"/>
      <c r="Q206" s="700"/>
      <c r="R206" s="700"/>
      <c r="S206" s="700">
        <v>204</v>
      </c>
      <c r="T206" s="700">
        <v>150</v>
      </c>
      <c r="U206" s="700"/>
      <c r="V206" s="700"/>
      <c r="W206" s="700"/>
      <c r="X206" s="700"/>
      <c r="Y206" s="699"/>
    </row>
    <row r="207" spans="12:25" x14ac:dyDescent="0.2">
      <c r="L207" s="700"/>
      <c r="M207" s="700"/>
      <c r="N207" s="700"/>
      <c r="O207" s="700"/>
      <c r="P207" s="700"/>
      <c r="Q207" s="700"/>
      <c r="R207" s="700"/>
      <c r="S207" s="700">
        <v>205</v>
      </c>
      <c r="T207" s="700">
        <v>150</v>
      </c>
      <c r="U207" s="700"/>
      <c r="V207" s="700"/>
      <c r="W207" s="700"/>
      <c r="X207" s="700"/>
      <c r="Y207" s="699"/>
    </row>
    <row r="208" spans="12:25" x14ac:dyDescent="0.2">
      <c r="L208" s="700"/>
      <c r="M208" s="700"/>
      <c r="N208" s="700"/>
      <c r="O208" s="700"/>
      <c r="P208" s="700"/>
      <c r="Q208" s="700"/>
      <c r="R208" s="700"/>
      <c r="S208" s="700">
        <v>206</v>
      </c>
      <c r="T208" s="700">
        <v>150</v>
      </c>
      <c r="U208" s="700"/>
      <c r="V208" s="700"/>
      <c r="W208" s="700"/>
      <c r="X208" s="700"/>
      <c r="Y208" s="699"/>
    </row>
    <row r="209" spans="12:25" x14ac:dyDescent="0.2">
      <c r="L209" s="700"/>
      <c r="M209" s="700"/>
      <c r="N209" s="700"/>
      <c r="O209" s="700"/>
      <c r="P209" s="700"/>
      <c r="Q209" s="700"/>
      <c r="R209" s="700"/>
      <c r="S209" s="700">
        <v>207</v>
      </c>
      <c r="T209" s="700">
        <v>150</v>
      </c>
      <c r="U209" s="700"/>
      <c r="V209" s="700"/>
      <c r="W209" s="700"/>
      <c r="X209" s="700"/>
      <c r="Y209" s="699"/>
    </row>
    <row r="210" spans="12:25" x14ac:dyDescent="0.2">
      <c r="L210" s="700"/>
      <c r="M210" s="700"/>
      <c r="N210" s="700"/>
      <c r="O210" s="700"/>
      <c r="P210" s="700"/>
      <c r="Q210" s="700"/>
      <c r="R210" s="700"/>
      <c r="S210" s="700">
        <v>208</v>
      </c>
      <c r="T210" s="700">
        <v>150</v>
      </c>
      <c r="U210" s="700"/>
      <c r="V210" s="700"/>
      <c r="W210" s="700"/>
      <c r="X210" s="700"/>
      <c r="Y210" s="699"/>
    </row>
    <row r="211" spans="12:25" x14ac:dyDescent="0.2">
      <c r="L211" s="700"/>
      <c r="M211" s="700"/>
      <c r="N211" s="700"/>
      <c r="O211" s="700"/>
      <c r="P211" s="700"/>
      <c r="Q211" s="700"/>
      <c r="R211" s="700"/>
      <c r="S211" s="700">
        <v>209</v>
      </c>
      <c r="T211" s="700">
        <v>150</v>
      </c>
      <c r="U211" s="700"/>
      <c r="V211" s="700"/>
      <c r="W211" s="700"/>
      <c r="X211" s="700"/>
      <c r="Y211" s="699"/>
    </row>
    <row r="212" spans="12:25" x14ac:dyDescent="0.2">
      <c r="L212" s="700"/>
      <c r="M212" s="700"/>
      <c r="N212" s="700"/>
      <c r="O212" s="700"/>
      <c r="P212" s="700"/>
      <c r="Q212" s="700"/>
      <c r="R212" s="700"/>
      <c r="S212" s="700">
        <v>210</v>
      </c>
      <c r="T212" s="700">
        <v>150</v>
      </c>
      <c r="U212" s="700"/>
      <c r="V212" s="700"/>
      <c r="W212" s="700"/>
      <c r="X212" s="700"/>
      <c r="Y212" s="699"/>
    </row>
    <row r="213" spans="12:25" x14ac:dyDescent="0.2">
      <c r="L213" s="700"/>
      <c r="M213" s="700"/>
      <c r="N213" s="700"/>
      <c r="O213" s="700"/>
      <c r="P213" s="700"/>
      <c r="Q213" s="700"/>
      <c r="R213" s="700"/>
      <c r="S213" s="700">
        <v>211</v>
      </c>
      <c r="T213" s="700">
        <v>150</v>
      </c>
      <c r="U213" s="700"/>
      <c r="V213" s="700"/>
      <c r="W213" s="700"/>
      <c r="X213" s="700"/>
      <c r="Y213" s="699"/>
    </row>
    <row r="214" spans="12:25" x14ac:dyDescent="0.2">
      <c r="L214" s="700"/>
      <c r="M214" s="700"/>
      <c r="N214" s="700"/>
      <c r="O214" s="700"/>
      <c r="P214" s="700"/>
      <c r="Q214" s="700"/>
      <c r="R214" s="700"/>
      <c r="S214" s="700">
        <v>212</v>
      </c>
      <c r="T214" s="700">
        <v>150</v>
      </c>
      <c r="U214" s="700"/>
      <c r="V214" s="700"/>
      <c r="W214" s="700"/>
      <c r="X214" s="700"/>
      <c r="Y214" s="699"/>
    </row>
    <row r="215" spans="12:25" x14ac:dyDescent="0.2">
      <c r="L215" s="700"/>
      <c r="M215" s="700"/>
      <c r="N215" s="700"/>
      <c r="O215" s="700"/>
      <c r="P215" s="700"/>
      <c r="Q215" s="700"/>
      <c r="R215" s="700"/>
      <c r="S215" s="700">
        <v>213</v>
      </c>
      <c r="T215" s="700">
        <v>150</v>
      </c>
      <c r="U215" s="700"/>
      <c r="V215" s="700"/>
      <c r="W215" s="700"/>
      <c r="X215" s="700"/>
      <c r="Y215" s="699"/>
    </row>
    <row r="216" spans="12:25" x14ac:dyDescent="0.2">
      <c r="L216" s="700"/>
      <c r="M216" s="700"/>
      <c r="N216" s="700"/>
      <c r="O216" s="700"/>
      <c r="P216" s="700"/>
      <c r="Q216" s="700"/>
      <c r="R216" s="700"/>
      <c r="S216" s="700">
        <v>214</v>
      </c>
      <c r="T216" s="700">
        <v>150</v>
      </c>
      <c r="U216" s="700"/>
      <c r="V216" s="700"/>
      <c r="W216" s="700"/>
      <c r="X216" s="700"/>
      <c r="Y216" s="699"/>
    </row>
    <row r="217" spans="12:25" x14ac:dyDescent="0.2">
      <c r="L217" s="700"/>
      <c r="M217" s="700"/>
      <c r="N217" s="700"/>
      <c r="O217" s="700"/>
      <c r="P217" s="700"/>
      <c r="Q217" s="700"/>
      <c r="R217" s="700"/>
      <c r="S217" s="700">
        <v>215</v>
      </c>
      <c r="T217" s="700">
        <v>150</v>
      </c>
      <c r="U217" s="700"/>
      <c r="V217" s="700"/>
      <c r="W217" s="700"/>
      <c r="X217" s="700"/>
      <c r="Y217" s="699"/>
    </row>
    <row r="218" spans="12:25" x14ac:dyDescent="0.2">
      <c r="L218" s="700"/>
      <c r="M218" s="700"/>
      <c r="N218" s="700"/>
      <c r="O218" s="700"/>
      <c r="P218" s="700"/>
      <c r="Q218" s="700"/>
      <c r="R218" s="700"/>
      <c r="S218" s="700">
        <v>216</v>
      </c>
      <c r="T218" s="700">
        <v>150</v>
      </c>
      <c r="U218" s="700"/>
      <c r="V218" s="700"/>
      <c r="W218" s="700"/>
      <c r="X218" s="700"/>
      <c r="Y218" s="699"/>
    </row>
    <row r="219" spans="12:25" x14ac:dyDescent="0.2">
      <c r="L219" s="700"/>
      <c r="M219" s="700"/>
      <c r="N219" s="700"/>
      <c r="O219" s="700"/>
      <c r="P219" s="700"/>
      <c r="Q219" s="700"/>
      <c r="R219" s="700"/>
      <c r="S219" s="700">
        <v>217</v>
      </c>
      <c r="T219" s="700">
        <v>150</v>
      </c>
      <c r="U219" s="700"/>
      <c r="V219" s="700"/>
      <c r="W219" s="700"/>
      <c r="X219" s="700"/>
      <c r="Y219" s="699"/>
    </row>
    <row r="220" spans="12:25" x14ac:dyDescent="0.2">
      <c r="L220" s="700"/>
      <c r="M220" s="700"/>
      <c r="N220" s="700"/>
      <c r="O220" s="700"/>
      <c r="P220" s="700"/>
      <c r="Q220" s="700"/>
      <c r="R220" s="700"/>
      <c r="S220" s="700">
        <v>218</v>
      </c>
      <c r="T220" s="700">
        <v>150</v>
      </c>
      <c r="U220" s="700"/>
      <c r="V220" s="700"/>
      <c r="W220" s="700"/>
      <c r="X220" s="700"/>
      <c r="Y220" s="699"/>
    </row>
    <row r="221" spans="12:25" x14ac:dyDescent="0.2">
      <c r="L221" s="700"/>
      <c r="M221" s="700"/>
      <c r="N221" s="700"/>
      <c r="O221" s="700"/>
      <c r="P221" s="700"/>
      <c r="Q221" s="700"/>
      <c r="R221" s="700"/>
      <c r="S221" s="700">
        <v>219</v>
      </c>
      <c r="T221" s="700">
        <v>150</v>
      </c>
      <c r="U221" s="700"/>
      <c r="V221" s="700"/>
      <c r="W221" s="700"/>
      <c r="X221" s="700"/>
      <c r="Y221" s="699"/>
    </row>
    <row r="222" spans="12:25" x14ac:dyDescent="0.2">
      <c r="L222" s="700"/>
      <c r="M222" s="700"/>
      <c r="N222" s="700"/>
      <c r="O222" s="700"/>
      <c r="P222" s="700"/>
      <c r="Q222" s="700"/>
      <c r="R222" s="700"/>
      <c r="S222" s="700">
        <v>220</v>
      </c>
      <c r="T222" s="700">
        <v>150</v>
      </c>
      <c r="U222" s="700"/>
      <c r="V222" s="700"/>
      <c r="W222" s="700"/>
      <c r="X222" s="700"/>
      <c r="Y222" s="699"/>
    </row>
    <row r="223" spans="12:25" x14ac:dyDescent="0.2">
      <c r="L223" s="700"/>
      <c r="M223" s="700"/>
      <c r="N223" s="700"/>
      <c r="O223" s="700"/>
      <c r="P223" s="700"/>
      <c r="Q223" s="700"/>
      <c r="R223" s="700"/>
      <c r="S223" s="700">
        <v>221</v>
      </c>
      <c r="T223" s="700">
        <v>150</v>
      </c>
      <c r="U223" s="700"/>
      <c r="V223" s="700"/>
      <c r="W223" s="700"/>
      <c r="X223" s="700"/>
      <c r="Y223" s="699"/>
    </row>
    <row r="224" spans="12:25" x14ac:dyDescent="0.2">
      <c r="L224" s="700"/>
      <c r="M224" s="700"/>
      <c r="N224" s="700"/>
      <c r="O224" s="700"/>
      <c r="P224" s="700"/>
      <c r="Q224" s="700"/>
      <c r="R224" s="700"/>
      <c r="S224" s="700">
        <v>222</v>
      </c>
      <c r="T224" s="700">
        <v>150</v>
      </c>
      <c r="U224" s="700"/>
      <c r="V224" s="700"/>
      <c r="W224" s="700"/>
      <c r="X224" s="700"/>
      <c r="Y224" s="699"/>
    </row>
    <row r="225" spans="12:25" x14ac:dyDescent="0.2">
      <c r="L225" s="700"/>
      <c r="M225" s="700"/>
      <c r="N225" s="700"/>
      <c r="O225" s="700"/>
      <c r="P225" s="700"/>
      <c r="Q225" s="700"/>
      <c r="R225" s="700"/>
      <c r="S225" s="700">
        <v>223</v>
      </c>
      <c r="T225" s="700">
        <v>150</v>
      </c>
      <c r="U225" s="700"/>
      <c r="V225" s="700"/>
      <c r="W225" s="700"/>
      <c r="X225" s="700"/>
      <c r="Y225" s="699"/>
    </row>
    <row r="226" spans="12:25" x14ac:dyDescent="0.2">
      <c r="L226" s="700"/>
      <c r="M226" s="700"/>
      <c r="N226" s="700"/>
      <c r="O226" s="700"/>
      <c r="P226" s="700"/>
      <c r="Q226" s="700"/>
      <c r="R226" s="700"/>
      <c r="S226" s="700">
        <v>224</v>
      </c>
      <c r="T226" s="700">
        <v>150</v>
      </c>
      <c r="U226" s="700"/>
      <c r="V226" s="700"/>
      <c r="W226" s="700"/>
      <c r="X226" s="700"/>
      <c r="Y226" s="699"/>
    </row>
    <row r="227" spans="12:25" x14ac:dyDescent="0.2">
      <c r="L227" s="700"/>
      <c r="M227" s="700"/>
      <c r="N227" s="700"/>
      <c r="O227" s="700"/>
      <c r="P227" s="700"/>
      <c r="Q227" s="700"/>
      <c r="R227" s="700"/>
      <c r="S227" s="700">
        <v>225</v>
      </c>
      <c r="T227" s="700">
        <v>150</v>
      </c>
      <c r="U227" s="700"/>
      <c r="V227" s="700"/>
      <c r="W227" s="700"/>
      <c r="X227" s="700"/>
      <c r="Y227" s="699"/>
    </row>
    <row r="228" spans="12:25" x14ac:dyDescent="0.2">
      <c r="L228" s="700"/>
      <c r="M228" s="700"/>
      <c r="N228" s="700"/>
      <c r="O228" s="700"/>
      <c r="P228" s="700"/>
      <c r="Q228" s="700"/>
      <c r="R228" s="700"/>
      <c r="S228" s="700">
        <v>226</v>
      </c>
      <c r="T228" s="700">
        <v>150</v>
      </c>
      <c r="U228" s="700"/>
      <c r="V228" s="700"/>
      <c r="W228" s="700"/>
      <c r="X228" s="700"/>
      <c r="Y228" s="699"/>
    </row>
    <row r="229" spans="12:25" x14ac:dyDescent="0.2">
      <c r="L229" s="700"/>
      <c r="M229" s="700"/>
      <c r="N229" s="700"/>
      <c r="O229" s="700"/>
      <c r="P229" s="700"/>
      <c r="Q229" s="700"/>
      <c r="R229" s="700"/>
      <c r="S229" s="700">
        <v>227</v>
      </c>
      <c r="T229" s="700">
        <v>150</v>
      </c>
      <c r="U229" s="700"/>
      <c r="V229" s="700"/>
      <c r="W229" s="700"/>
      <c r="X229" s="700"/>
      <c r="Y229" s="699"/>
    </row>
    <row r="230" spans="12:25" x14ac:dyDescent="0.2">
      <c r="L230" s="700"/>
      <c r="M230" s="700"/>
      <c r="N230" s="700"/>
      <c r="O230" s="700"/>
      <c r="P230" s="700"/>
      <c r="Q230" s="700"/>
      <c r="R230" s="700"/>
      <c r="S230" s="700">
        <v>228</v>
      </c>
      <c r="T230" s="700">
        <v>150</v>
      </c>
      <c r="U230" s="700"/>
      <c r="V230" s="700"/>
      <c r="W230" s="700"/>
      <c r="X230" s="700"/>
      <c r="Y230" s="699"/>
    </row>
    <row r="231" spans="12:25" x14ac:dyDescent="0.2">
      <c r="L231" s="700"/>
      <c r="M231" s="700"/>
      <c r="N231" s="700"/>
      <c r="O231" s="700"/>
      <c r="P231" s="700"/>
      <c r="Q231" s="700"/>
      <c r="R231" s="700"/>
      <c r="S231" s="700">
        <v>229</v>
      </c>
      <c r="T231" s="700">
        <v>150</v>
      </c>
      <c r="U231" s="700"/>
      <c r="V231" s="700"/>
      <c r="W231" s="700"/>
      <c r="X231" s="700"/>
      <c r="Y231" s="699"/>
    </row>
    <row r="232" spans="12:25" x14ac:dyDescent="0.2">
      <c r="L232" s="700"/>
      <c r="M232" s="700"/>
      <c r="N232" s="700"/>
      <c r="O232" s="700"/>
      <c r="P232" s="700"/>
      <c r="Q232" s="700"/>
      <c r="R232" s="700"/>
      <c r="S232" s="700">
        <v>230</v>
      </c>
      <c r="T232" s="700">
        <v>150</v>
      </c>
      <c r="U232" s="700"/>
      <c r="V232" s="700"/>
      <c r="W232" s="700"/>
      <c r="X232" s="700"/>
      <c r="Y232" s="699"/>
    </row>
    <row r="233" spans="12:25" x14ac:dyDescent="0.2">
      <c r="L233" s="700"/>
      <c r="M233" s="700"/>
      <c r="N233" s="700"/>
      <c r="O233" s="700"/>
      <c r="P233" s="700"/>
      <c r="Q233" s="700"/>
      <c r="R233" s="700"/>
      <c r="S233" s="700">
        <v>231</v>
      </c>
      <c r="T233" s="700">
        <v>150</v>
      </c>
      <c r="U233" s="700"/>
      <c r="V233" s="700"/>
      <c r="W233" s="700"/>
      <c r="X233" s="700"/>
      <c r="Y233" s="699"/>
    </row>
    <row r="234" spans="12:25" x14ac:dyDescent="0.2">
      <c r="L234" s="700"/>
      <c r="M234" s="700"/>
      <c r="N234" s="700"/>
      <c r="O234" s="700"/>
      <c r="P234" s="700"/>
      <c r="Q234" s="700"/>
      <c r="R234" s="700"/>
      <c r="S234" s="700">
        <v>232</v>
      </c>
      <c r="T234" s="700">
        <v>150</v>
      </c>
      <c r="U234" s="700"/>
      <c r="V234" s="700"/>
      <c r="W234" s="700"/>
      <c r="X234" s="700"/>
      <c r="Y234" s="699"/>
    </row>
    <row r="235" spans="12:25" x14ac:dyDescent="0.2">
      <c r="L235" s="700"/>
      <c r="M235" s="700"/>
      <c r="N235" s="700"/>
      <c r="O235" s="700"/>
      <c r="P235" s="700"/>
      <c r="Q235" s="700"/>
      <c r="R235" s="700"/>
      <c r="S235" s="700">
        <v>233</v>
      </c>
      <c r="T235" s="700">
        <v>150</v>
      </c>
      <c r="U235" s="700"/>
      <c r="V235" s="700"/>
      <c r="W235" s="700"/>
      <c r="X235" s="700"/>
      <c r="Y235" s="699"/>
    </row>
    <row r="236" spans="12:25" x14ac:dyDescent="0.2">
      <c r="L236" s="700"/>
      <c r="M236" s="700"/>
      <c r="N236" s="700"/>
      <c r="O236" s="700"/>
      <c r="P236" s="700"/>
      <c r="Q236" s="700"/>
      <c r="R236" s="700"/>
      <c r="S236" s="700">
        <v>234</v>
      </c>
      <c r="T236" s="700">
        <v>150</v>
      </c>
      <c r="U236" s="700"/>
      <c r="V236" s="700"/>
      <c r="W236" s="700"/>
      <c r="X236" s="700"/>
      <c r="Y236" s="699"/>
    </row>
    <row r="237" spans="12:25" x14ac:dyDescent="0.2">
      <c r="L237" s="700"/>
      <c r="M237" s="700"/>
      <c r="N237" s="700"/>
      <c r="O237" s="700"/>
      <c r="P237" s="700"/>
      <c r="Q237" s="700"/>
      <c r="R237" s="700"/>
      <c r="S237" s="700">
        <v>235</v>
      </c>
      <c r="T237" s="700">
        <v>150</v>
      </c>
      <c r="U237" s="700"/>
      <c r="V237" s="700"/>
      <c r="W237" s="700"/>
      <c r="X237" s="700"/>
      <c r="Y237" s="699"/>
    </row>
    <row r="238" spans="12:25" x14ac:dyDescent="0.2">
      <c r="L238" s="700"/>
      <c r="M238" s="700"/>
      <c r="N238" s="700"/>
      <c r="O238" s="700"/>
      <c r="P238" s="700"/>
      <c r="Q238" s="700"/>
      <c r="R238" s="700"/>
      <c r="S238" s="700">
        <v>236</v>
      </c>
      <c r="T238" s="700">
        <v>150</v>
      </c>
      <c r="U238" s="700"/>
      <c r="V238" s="700"/>
      <c r="W238" s="700"/>
      <c r="X238" s="700"/>
      <c r="Y238" s="699"/>
    </row>
    <row r="239" spans="12:25" x14ac:dyDescent="0.2">
      <c r="L239" s="700"/>
      <c r="M239" s="700"/>
      <c r="N239" s="700"/>
      <c r="O239" s="700"/>
      <c r="P239" s="700"/>
      <c r="Q239" s="700"/>
      <c r="R239" s="700"/>
      <c r="S239" s="700">
        <v>237</v>
      </c>
      <c r="T239" s="700">
        <v>150</v>
      </c>
      <c r="U239" s="700"/>
      <c r="V239" s="700"/>
      <c r="W239" s="700"/>
      <c r="X239" s="700"/>
      <c r="Y239" s="699"/>
    </row>
    <row r="240" spans="12:25" x14ac:dyDescent="0.2">
      <c r="L240" s="700"/>
      <c r="M240" s="700"/>
      <c r="N240" s="700"/>
      <c r="O240" s="700"/>
      <c r="P240" s="700"/>
      <c r="Q240" s="700"/>
      <c r="R240" s="700"/>
      <c r="S240" s="700">
        <v>238</v>
      </c>
      <c r="T240" s="700">
        <v>150</v>
      </c>
      <c r="U240" s="700"/>
      <c r="V240" s="700"/>
      <c r="W240" s="700"/>
      <c r="X240" s="700"/>
      <c r="Y240" s="699"/>
    </row>
    <row r="241" spans="12:25" x14ac:dyDescent="0.2">
      <c r="L241" s="700"/>
      <c r="M241" s="700"/>
      <c r="N241" s="700"/>
      <c r="O241" s="700"/>
      <c r="P241" s="700"/>
      <c r="Q241" s="700"/>
      <c r="R241" s="700"/>
      <c r="S241" s="700">
        <v>239</v>
      </c>
      <c r="T241" s="700">
        <v>150</v>
      </c>
      <c r="U241" s="700"/>
      <c r="V241" s="700"/>
      <c r="W241" s="700"/>
      <c r="X241" s="700"/>
      <c r="Y241" s="699"/>
    </row>
    <row r="242" spans="12:25" x14ac:dyDescent="0.2">
      <c r="L242" s="700"/>
      <c r="M242" s="700"/>
      <c r="N242" s="700"/>
      <c r="O242" s="700"/>
      <c r="P242" s="700"/>
      <c r="Q242" s="700"/>
      <c r="R242" s="700"/>
      <c r="S242" s="700">
        <v>240</v>
      </c>
      <c r="T242" s="700">
        <v>150</v>
      </c>
      <c r="U242" s="700"/>
      <c r="V242" s="700"/>
      <c r="W242" s="700"/>
      <c r="X242" s="700"/>
      <c r="Y242" s="699"/>
    </row>
    <row r="243" spans="12:25" x14ac:dyDescent="0.2">
      <c r="L243" s="700"/>
      <c r="M243" s="700"/>
      <c r="N243" s="700"/>
      <c r="O243" s="700"/>
      <c r="P243" s="700"/>
      <c r="Q243" s="700"/>
      <c r="R243" s="700"/>
      <c r="S243" s="700">
        <v>241</v>
      </c>
      <c r="T243" s="700">
        <v>150</v>
      </c>
      <c r="U243" s="700"/>
      <c r="V243" s="700"/>
      <c r="W243" s="700"/>
      <c r="X243" s="700"/>
      <c r="Y243" s="699"/>
    </row>
    <row r="244" spans="12:25" x14ac:dyDescent="0.2">
      <c r="L244" s="700"/>
      <c r="M244" s="700"/>
      <c r="N244" s="700"/>
      <c r="O244" s="700"/>
      <c r="P244" s="700"/>
      <c r="Q244" s="700"/>
      <c r="R244" s="700"/>
      <c r="S244" s="700">
        <v>242</v>
      </c>
      <c r="T244" s="700">
        <v>150</v>
      </c>
      <c r="U244" s="700"/>
      <c r="V244" s="700"/>
      <c r="W244" s="700"/>
      <c r="X244" s="700"/>
      <c r="Y244" s="699"/>
    </row>
    <row r="245" spans="12:25" x14ac:dyDescent="0.2">
      <c r="L245" s="700"/>
      <c r="M245" s="700"/>
      <c r="N245" s="700"/>
      <c r="O245" s="700"/>
      <c r="P245" s="700"/>
      <c r="Q245" s="700"/>
      <c r="R245" s="700"/>
      <c r="S245" s="700">
        <v>243</v>
      </c>
      <c r="T245" s="700">
        <v>150</v>
      </c>
      <c r="U245" s="700"/>
      <c r="V245" s="700"/>
      <c r="W245" s="700"/>
      <c r="X245" s="700"/>
      <c r="Y245" s="699"/>
    </row>
    <row r="246" spans="12:25" x14ac:dyDescent="0.2">
      <c r="L246" s="700"/>
      <c r="M246" s="700"/>
      <c r="N246" s="700"/>
      <c r="O246" s="700"/>
      <c r="P246" s="700"/>
      <c r="Q246" s="700"/>
      <c r="R246" s="700"/>
      <c r="S246" s="700">
        <v>244</v>
      </c>
      <c r="T246" s="700">
        <v>150</v>
      </c>
      <c r="U246" s="700"/>
      <c r="V246" s="700"/>
      <c r="W246" s="700"/>
      <c r="X246" s="700"/>
      <c r="Y246" s="699"/>
    </row>
    <row r="247" spans="12:25" x14ac:dyDescent="0.2">
      <c r="L247" s="700"/>
      <c r="M247" s="700"/>
      <c r="N247" s="700"/>
      <c r="O247" s="700"/>
      <c r="P247" s="700"/>
      <c r="Q247" s="700"/>
      <c r="R247" s="700"/>
      <c r="S247" s="700">
        <v>245</v>
      </c>
      <c r="T247" s="700">
        <v>150</v>
      </c>
      <c r="U247" s="700"/>
      <c r="V247" s="700"/>
      <c r="W247" s="700"/>
      <c r="X247" s="700"/>
      <c r="Y247" s="699"/>
    </row>
    <row r="248" spans="12:25" x14ac:dyDescent="0.2">
      <c r="L248" s="700"/>
      <c r="M248" s="700"/>
      <c r="N248" s="700"/>
      <c r="O248" s="700"/>
      <c r="P248" s="700"/>
      <c r="Q248" s="700"/>
      <c r="R248" s="700"/>
      <c r="S248" s="700">
        <v>246</v>
      </c>
      <c r="T248" s="700">
        <v>150</v>
      </c>
      <c r="U248" s="700"/>
      <c r="V248" s="700"/>
      <c r="W248" s="700"/>
      <c r="X248" s="700"/>
      <c r="Y248" s="699"/>
    </row>
    <row r="249" spans="12:25" x14ac:dyDescent="0.2">
      <c r="L249" s="700"/>
      <c r="M249" s="700"/>
      <c r="N249" s="700"/>
      <c r="O249" s="700"/>
      <c r="P249" s="700"/>
      <c r="Q249" s="700"/>
      <c r="R249" s="700"/>
      <c r="S249" s="700">
        <v>247</v>
      </c>
      <c r="T249" s="700">
        <v>150</v>
      </c>
      <c r="U249" s="700"/>
      <c r="V249" s="700"/>
      <c r="W249" s="700"/>
      <c r="X249" s="700"/>
      <c r="Y249" s="699"/>
    </row>
    <row r="250" spans="12:25" x14ac:dyDescent="0.2">
      <c r="L250" s="700"/>
      <c r="M250" s="700"/>
      <c r="N250" s="700"/>
      <c r="O250" s="700"/>
      <c r="P250" s="700"/>
      <c r="Q250" s="700"/>
      <c r="R250" s="700"/>
      <c r="S250" s="700">
        <v>248</v>
      </c>
      <c r="T250" s="700">
        <v>150</v>
      </c>
      <c r="U250" s="700"/>
      <c r="V250" s="700"/>
      <c r="W250" s="700"/>
      <c r="X250" s="700"/>
      <c r="Y250" s="699"/>
    </row>
    <row r="251" spans="12:25" x14ac:dyDescent="0.2">
      <c r="L251" s="700"/>
      <c r="M251" s="700"/>
      <c r="N251" s="700"/>
      <c r="O251" s="700"/>
      <c r="P251" s="700"/>
      <c r="Q251" s="700"/>
      <c r="R251" s="700"/>
      <c r="S251" s="700">
        <v>249</v>
      </c>
      <c r="T251" s="700">
        <v>150</v>
      </c>
      <c r="U251" s="700"/>
      <c r="V251" s="700"/>
      <c r="W251" s="700"/>
      <c r="X251" s="700"/>
      <c r="Y251" s="699"/>
    </row>
    <row r="252" spans="12:25" x14ac:dyDescent="0.2">
      <c r="L252" s="700"/>
      <c r="M252" s="700"/>
      <c r="N252" s="700"/>
      <c r="O252" s="700"/>
      <c r="P252" s="700"/>
      <c r="Q252" s="700"/>
      <c r="R252" s="700"/>
      <c r="S252" s="700">
        <v>250</v>
      </c>
      <c r="T252" s="700">
        <v>150</v>
      </c>
      <c r="U252" s="700"/>
      <c r="V252" s="700"/>
      <c r="W252" s="700"/>
      <c r="X252" s="700"/>
      <c r="Y252" s="699"/>
    </row>
    <row r="253" spans="12:25" x14ac:dyDescent="0.2">
      <c r="L253" s="700"/>
      <c r="M253" s="700"/>
      <c r="N253" s="700"/>
      <c r="O253" s="700"/>
      <c r="P253" s="700"/>
      <c r="Q253" s="700"/>
      <c r="R253" s="700"/>
      <c r="S253" s="700">
        <v>251</v>
      </c>
      <c r="T253" s="700">
        <v>150</v>
      </c>
      <c r="U253" s="700"/>
      <c r="V253" s="700"/>
      <c r="W253" s="700"/>
      <c r="X253" s="700"/>
      <c r="Y253" s="699"/>
    </row>
    <row r="254" spans="12:25" x14ac:dyDescent="0.2">
      <c r="L254" s="700"/>
      <c r="M254" s="700"/>
      <c r="N254" s="700"/>
      <c r="O254" s="700"/>
      <c r="P254" s="700"/>
      <c r="Q254" s="700"/>
      <c r="R254" s="700"/>
      <c r="S254" s="700">
        <v>252</v>
      </c>
      <c r="T254" s="700">
        <v>150</v>
      </c>
      <c r="U254" s="700"/>
      <c r="V254" s="700"/>
      <c r="W254" s="700"/>
      <c r="X254" s="700"/>
      <c r="Y254" s="699"/>
    </row>
    <row r="255" spans="12:25" x14ac:dyDescent="0.2">
      <c r="L255" s="700"/>
      <c r="M255" s="700"/>
      <c r="N255" s="700"/>
      <c r="O255" s="700"/>
      <c r="P255" s="700"/>
      <c r="Q255" s="700"/>
      <c r="R255" s="700"/>
      <c r="S255" s="700">
        <v>253</v>
      </c>
      <c r="T255" s="700">
        <v>150</v>
      </c>
      <c r="U255" s="700"/>
      <c r="V255" s="700"/>
      <c r="W255" s="700"/>
      <c r="X255" s="700"/>
      <c r="Y255" s="699"/>
    </row>
    <row r="256" spans="12:25" x14ac:dyDescent="0.2">
      <c r="L256" s="700"/>
      <c r="M256" s="700"/>
      <c r="N256" s="700"/>
      <c r="O256" s="700"/>
      <c r="P256" s="700"/>
      <c r="Q256" s="700"/>
      <c r="R256" s="700"/>
      <c r="S256" s="700">
        <v>254</v>
      </c>
      <c r="T256" s="700">
        <v>150</v>
      </c>
      <c r="U256" s="700"/>
      <c r="V256" s="700"/>
      <c r="W256" s="700"/>
      <c r="X256" s="700"/>
      <c r="Y256" s="699"/>
    </row>
    <row r="257" spans="12:25" x14ac:dyDescent="0.2">
      <c r="L257" s="700"/>
      <c r="M257" s="700"/>
      <c r="N257" s="700"/>
      <c r="O257" s="700"/>
      <c r="P257" s="700"/>
      <c r="Q257" s="700"/>
      <c r="R257" s="700"/>
      <c r="S257" s="700">
        <v>255</v>
      </c>
      <c r="T257" s="700">
        <v>150</v>
      </c>
      <c r="U257" s="700"/>
      <c r="V257" s="700"/>
      <c r="W257" s="700"/>
      <c r="X257" s="700"/>
      <c r="Y257" s="699"/>
    </row>
    <row r="258" spans="12:25" x14ac:dyDescent="0.2">
      <c r="L258" s="700"/>
      <c r="M258" s="700"/>
      <c r="N258" s="700"/>
      <c r="O258" s="700"/>
      <c r="P258" s="700"/>
      <c r="Q258" s="700"/>
      <c r="R258" s="700"/>
      <c r="S258" s="700">
        <v>256</v>
      </c>
      <c r="T258" s="700">
        <v>150</v>
      </c>
      <c r="U258" s="700"/>
      <c r="V258" s="700"/>
      <c r="W258" s="700"/>
      <c r="X258" s="700"/>
      <c r="Y258" s="699"/>
    </row>
    <row r="259" spans="12:25" x14ac:dyDescent="0.2">
      <c r="L259" s="700"/>
      <c r="M259" s="700"/>
      <c r="N259" s="700"/>
      <c r="O259" s="700"/>
      <c r="P259" s="700"/>
      <c r="Q259" s="700"/>
      <c r="R259" s="700"/>
      <c r="S259" s="700">
        <v>257</v>
      </c>
      <c r="T259" s="700">
        <v>150</v>
      </c>
      <c r="U259" s="700"/>
      <c r="V259" s="700"/>
      <c r="W259" s="700"/>
      <c r="X259" s="700"/>
      <c r="Y259" s="699"/>
    </row>
    <row r="260" spans="12:25" x14ac:dyDescent="0.2">
      <c r="L260" s="700"/>
      <c r="M260" s="700"/>
      <c r="N260" s="700"/>
      <c r="O260" s="700"/>
      <c r="P260" s="700"/>
      <c r="Q260" s="700"/>
      <c r="R260" s="700"/>
      <c r="S260" s="700">
        <v>258</v>
      </c>
      <c r="T260" s="700">
        <v>150</v>
      </c>
      <c r="U260" s="700"/>
      <c r="V260" s="700"/>
      <c r="W260" s="700"/>
      <c r="X260" s="700"/>
      <c r="Y260" s="699"/>
    </row>
    <row r="261" spans="12:25" x14ac:dyDescent="0.2">
      <c r="L261" s="700"/>
      <c r="M261" s="700"/>
      <c r="N261" s="700"/>
      <c r="O261" s="700"/>
      <c r="P261" s="700"/>
      <c r="Q261" s="700"/>
      <c r="R261" s="700"/>
      <c r="S261" s="700">
        <v>259</v>
      </c>
      <c r="T261" s="700">
        <v>150</v>
      </c>
      <c r="U261" s="700"/>
      <c r="V261" s="700"/>
      <c r="W261" s="700"/>
      <c r="X261" s="700"/>
      <c r="Y261" s="699"/>
    </row>
    <row r="262" spans="12:25" x14ac:dyDescent="0.2">
      <c r="L262" s="700"/>
      <c r="M262" s="700"/>
      <c r="N262" s="700"/>
      <c r="O262" s="700"/>
      <c r="P262" s="700"/>
      <c r="Q262" s="700"/>
      <c r="R262" s="700"/>
      <c r="S262" s="700">
        <v>260</v>
      </c>
      <c r="T262" s="700">
        <v>150</v>
      </c>
      <c r="U262" s="700"/>
      <c r="V262" s="700"/>
      <c r="W262" s="700"/>
      <c r="X262" s="700"/>
      <c r="Y262" s="699"/>
    </row>
    <row r="263" spans="12:25" x14ac:dyDescent="0.2">
      <c r="L263" s="700"/>
      <c r="M263" s="700"/>
      <c r="N263" s="700"/>
      <c r="O263" s="700"/>
      <c r="P263" s="700"/>
      <c r="Q263" s="700"/>
      <c r="R263" s="700"/>
      <c r="S263" s="700">
        <v>261</v>
      </c>
      <c r="T263" s="700">
        <v>150</v>
      </c>
      <c r="U263" s="700"/>
      <c r="V263" s="700"/>
      <c r="W263" s="700"/>
      <c r="X263" s="700"/>
      <c r="Y263" s="699"/>
    </row>
    <row r="264" spans="12:25" x14ac:dyDescent="0.2">
      <c r="L264" s="700"/>
      <c r="M264" s="700"/>
      <c r="N264" s="700"/>
      <c r="O264" s="700"/>
      <c r="P264" s="700"/>
      <c r="Q264" s="700"/>
      <c r="R264" s="700"/>
      <c r="S264" s="700">
        <v>262</v>
      </c>
      <c r="T264" s="700">
        <v>150</v>
      </c>
      <c r="U264" s="700"/>
      <c r="V264" s="700"/>
      <c r="W264" s="700"/>
      <c r="X264" s="700"/>
      <c r="Y264" s="699"/>
    </row>
    <row r="265" spans="12:25" x14ac:dyDescent="0.2">
      <c r="L265" s="700"/>
      <c r="M265" s="700"/>
      <c r="N265" s="700"/>
      <c r="O265" s="700"/>
      <c r="P265" s="700"/>
      <c r="Q265" s="700"/>
      <c r="R265" s="700"/>
      <c r="S265" s="700">
        <v>263</v>
      </c>
      <c r="T265" s="700">
        <v>150</v>
      </c>
      <c r="U265" s="700"/>
      <c r="V265" s="700"/>
      <c r="W265" s="700"/>
      <c r="X265" s="700"/>
      <c r="Y265" s="699"/>
    </row>
    <row r="266" spans="12:25" x14ac:dyDescent="0.2">
      <c r="L266" s="700"/>
      <c r="M266" s="700"/>
      <c r="N266" s="700"/>
      <c r="O266" s="700"/>
      <c r="P266" s="700"/>
      <c r="Q266" s="700"/>
      <c r="R266" s="700"/>
      <c r="S266" s="700">
        <v>264</v>
      </c>
      <c r="T266" s="700">
        <v>150</v>
      </c>
      <c r="U266" s="700"/>
      <c r="V266" s="700"/>
      <c r="W266" s="700"/>
      <c r="X266" s="700"/>
      <c r="Y266" s="699"/>
    </row>
    <row r="267" spans="12:25" x14ac:dyDescent="0.2">
      <c r="L267" s="700"/>
      <c r="M267" s="700"/>
      <c r="N267" s="700"/>
      <c r="O267" s="700"/>
      <c r="P267" s="700"/>
      <c r="Q267" s="700"/>
      <c r="R267" s="700"/>
      <c r="S267" s="700">
        <v>265</v>
      </c>
      <c r="T267" s="700">
        <v>150</v>
      </c>
      <c r="U267" s="700"/>
      <c r="V267" s="700"/>
      <c r="W267" s="700"/>
      <c r="X267" s="700"/>
      <c r="Y267" s="699"/>
    </row>
    <row r="268" spans="12:25" x14ac:dyDescent="0.2">
      <c r="L268" s="700"/>
      <c r="M268" s="700"/>
      <c r="N268" s="700"/>
      <c r="O268" s="700"/>
      <c r="P268" s="700"/>
      <c r="Q268" s="700"/>
      <c r="R268" s="700"/>
      <c r="S268" s="700">
        <v>266</v>
      </c>
      <c r="T268" s="700">
        <v>150</v>
      </c>
      <c r="U268" s="700"/>
      <c r="V268" s="700"/>
      <c r="W268" s="700"/>
      <c r="X268" s="700"/>
      <c r="Y268" s="699"/>
    </row>
    <row r="269" spans="12:25" x14ac:dyDescent="0.2">
      <c r="L269" s="700"/>
      <c r="M269" s="700"/>
      <c r="N269" s="700"/>
      <c r="O269" s="700"/>
      <c r="P269" s="700"/>
      <c r="Q269" s="700"/>
      <c r="R269" s="700"/>
      <c r="S269" s="700">
        <v>267</v>
      </c>
      <c r="T269" s="700">
        <v>150</v>
      </c>
      <c r="U269" s="700"/>
      <c r="V269" s="700"/>
      <c r="W269" s="700"/>
      <c r="X269" s="700"/>
      <c r="Y269" s="699"/>
    </row>
    <row r="270" spans="12:25" x14ac:dyDescent="0.2">
      <c r="L270" s="700"/>
      <c r="M270" s="700"/>
      <c r="N270" s="700"/>
      <c r="O270" s="700"/>
      <c r="P270" s="700"/>
      <c r="Q270" s="700"/>
      <c r="R270" s="700"/>
      <c r="S270" s="700">
        <v>268</v>
      </c>
      <c r="T270" s="700">
        <v>150</v>
      </c>
      <c r="U270" s="700"/>
      <c r="V270" s="700"/>
      <c r="W270" s="700"/>
      <c r="X270" s="700"/>
      <c r="Y270" s="699"/>
    </row>
    <row r="271" spans="12:25" x14ac:dyDescent="0.2">
      <c r="L271" s="700"/>
      <c r="M271" s="700"/>
      <c r="N271" s="700"/>
      <c r="O271" s="700"/>
      <c r="P271" s="700"/>
      <c r="Q271" s="700"/>
      <c r="R271" s="700"/>
      <c r="S271" s="700">
        <v>269</v>
      </c>
      <c r="T271" s="700">
        <v>150</v>
      </c>
      <c r="U271" s="700"/>
      <c r="V271" s="700"/>
      <c r="W271" s="700"/>
      <c r="X271" s="700"/>
      <c r="Y271" s="699"/>
    </row>
    <row r="272" spans="12:25" x14ac:dyDescent="0.2">
      <c r="L272" s="700"/>
      <c r="M272" s="700"/>
      <c r="N272" s="700"/>
      <c r="O272" s="700"/>
      <c r="P272" s="700"/>
      <c r="Q272" s="700"/>
      <c r="R272" s="700"/>
      <c r="S272" s="700">
        <v>270</v>
      </c>
      <c r="T272" s="700">
        <v>150</v>
      </c>
      <c r="U272" s="700"/>
      <c r="V272" s="700"/>
      <c r="W272" s="700"/>
      <c r="X272" s="700"/>
      <c r="Y272" s="699"/>
    </row>
    <row r="273" spans="12:25" x14ac:dyDescent="0.2">
      <c r="L273" s="700"/>
      <c r="M273" s="700"/>
      <c r="N273" s="700"/>
      <c r="O273" s="700"/>
      <c r="P273" s="700"/>
      <c r="Q273" s="700"/>
      <c r="R273" s="700"/>
      <c r="S273" s="700">
        <v>271</v>
      </c>
      <c r="T273" s="700">
        <v>150</v>
      </c>
      <c r="U273" s="700"/>
      <c r="V273" s="700"/>
      <c r="W273" s="700"/>
      <c r="X273" s="700"/>
      <c r="Y273" s="699"/>
    </row>
    <row r="274" spans="12:25" x14ac:dyDescent="0.2">
      <c r="L274" s="700"/>
      <c r="M274" s="700"/>
      <c r="N274" s="700"/>
      <c r="O274" s="700"/>
      <c r="P274" s="700"/>
      <c r="Q274" s="700"/>
      <c r="R274" s="700"/>
      <c r="S274" s="700">
        <v>272</v>
      </c>
      <c r="T274" s="700">
        <v>150</v>
      </c>
      <c r="U274" s="700"/>
      <c r="V274" s="700"/>
      <c r="W274" s="700"/>
      <c r="X274" s="700"/>
      <c r="Y274" s="699"/>
    </row>
    <row r="275" spans="12:25" x14ac:dyDescent="0.2">
      <c r="L275" s="700"/>
      <c r="M275" s="700"/>
      <c r="N275" s="700"/>
      <c r="O275" s="700"/>
      <c r="P275" s="700"/>
      <c r="Q275" s="700"/>
      <c r="R275" s="700"/>
      <c r="S275" s="700">
        <v>273</v>
      </c>
      <c r="T275" s="700">
        <v>150</v>
      </c>
      <c r="U275" s="700"/>
      <c r="V275" s="700"/>
      <c r="W275" s="700"/>
      <c r="X275" s="700"/>
      <c r="Y275" s="699"/>
    </row>
    <row r="276" spans="12:25" x14ac:dyDescent="0.2">
      <c r="L276" s="700"/>
      <c r="M276" s="700"/>
      <c r="N276" s="700"/>
      <c r="O276" s="700"/>
      <c r="P276" s="700"/>
      <c r="Q276" s="700"/>
      <c r="R276" s="700"/>
      <c r="S276" s="700">
        <v>274</v>
      </c>
      <c r="T276" s="700">
        <v>150</v>
      </c>
      <c r="U276" s="700"/>
      <c r="V276" s="700"/>
      <c r="W276" s="700"/>
      <c r="X276" s="700"/>
      <c r="Y276" s="699"/>
    </row>
    <row r="277" spans="12:25" x14ac:dyDescent="0.2">
      <c r="L277" s="700"/>
      <c r="M277" s="700"/>
      <c r="N277" s="700"/>
      <c r="O277" s="700"/>
      <c r="P277" s="700"/>
      <c r="Q277" s="700"/>
      <c r="R277" s="700"/>
      <c r="S277" s="700">
        <v>275</v>
      </c>
      <c r="T277" s="700">
        <v>150</v>
      </c>
      <c r="U277" s="700"/>
      <c r="V277" s="700"/>
      <c r="W277" s="700"/>
      <c r="X277" s="700"/>
      <c r="Y277" s="699"/>
    </row>
    <row r="278" spans="12:25" x14ac:dyDescent="0.2">
      <c r="L278" s="700"/>
      <c r="M278" s="700"/>
      <c r="N278" s="700"/>
      <c r="O278" s="700"/>
      <c r="P278" s="700"/>
      <c r="Q278" s="700"/>
      <c r="R278" s="700"/>
      <c r="S278" s="700">
        <v>276</v>
      </c>
      <c r="T278" s="700">
        <v>150</v>
      </c>
      <c r="U278" s="700"/>
      <c r="V278" s="700"/>
      <c r="W278" s="700"/>
      <c r="X278" s="700"/>
      <c r="Y278" s="699"/>
    </row>
    <row r="279" spans="12:25" x14ac:dyDescent="0.2">
      <c r="L279" s="700"/>
      <c r="M279" s="700"/>
      <c r="N279" s="700"/>
      <c r="O279" s="700"/>
      <c r="P279" s="700"/>
      <c r="Q279" s="700"/>
      <c r="R279" s="700"/>
      <c r="S279" s="700">
        <v>277</v>
      </c>
      <c r="T279" s="700">
        <v>150</v>
      </c>
      <c r="U279" s="700"/>
      <c r="V279" s="700"/>
      <c r="W279" s="700"/>
      <c r="X279" s="700"/>
      <c r="Y279" s="699"/>
    </row>
    <row r="280" spans="12:25" x14ac:dyDescent="0.2">
      <c r="L280" s="700"/>
      <c r="M280" s="700"/>
      <c r="N280" s="700"/>
      <c r="O280" s="700"/>
      <c r="P280" s="700"/>
      <c r="Q280" s="700"/>
      <c r="R280" s="700"/>
      <c r="S280" s="700">
        <v>278</v>
      </c>
      <c r="T280" s="700">
        <v>150</v>
      </c>
      <c r="U280" s="700"/>
      <c r="V280" s="700"/>
      <c r="W280" s="700"/>
      <c r="X280" s="700"/>
      <c r="Y280" s="699"/>
    </row>
    <row r="281" spans="12:25" x14ac:dyDescent="0.2">
      <c r="L281" s="700"/>
      <c r="M281" s="700"/>
      <c r="N281" s="700"/>
      <c r="O281" s="700"/>
      <c r="P281" s="700"/>
      <c r="Q281" s="700"/>
      <c r="R281" s="700"/>
      <c r="S281" s="700">
        <v>279</v>
      </c>
      <c r="T281" s="700">
        <v>150</v>
      </c>
      <c r="U281" s="700"/>
      <c r="V281" s="700"/>
      <c r="W281" s="700"/>
      <c r="X281" s="700"/>
      <c r="Y281" s="699"/>
    </row>
    <row r="282" spans="12:25" x14ac:dyDescent="0.2">
      <c r="L282" s="700"/>
      <c r="M282" s="700"/>
      <c r="N282" s="700"/>
      <c r="O282" s="700"/>
      <c r="P282" s="700"/>
      <c r="Q282" s="700"/>
      <c r="R282" s="700"/>
      <c r="S282" s="700">
        <v>280</v>
      </c>
      <c r="T282" s="700">
        <v>150</v>
      </c>
      <c r="U282" s="700"/>
      <c r="V282" s="700"/>
      <c r="W282" s="700"/>
      <c r="X282" s="700"/>
      <c r="Y282" s="699"/>
    </row>
    <row r="283" spans="12:25" x14ac:dyDescent="0.2">
      <c r="L283" s="700"/>
      <c r="M283" s="700"/>
      <c r="N283" s="700"/>
      <c r="O283" s="700"/>
      <c r="P283" s="700"/>
      <c r="Q283" s="700"/>
      <c r="R283" s="700"/>
      <c r="S283" s="700">
        <v>281</v>
      </c>
      <c r="T283" s="700">
        <v>150</v>
      </c>
      <c r="U283" s="700"/>
      <c r="V283" s="700"/>
      <c r="W283" s="700"/>
      <c r="X283" s="700"/>
      <c r="Y283" s="699"/>
    </row>
    <row r="284" spans="12:25" x14ac:dyDescent="0.2">
      <c r="L284" s="700"/>
      <c r="M284" s="700"/>
      <c r="N284" s="700"/>
      <c r="O284" s="700"/>
      <c r="P284" s="700"/>
      <c r="Q284" s="700"/>
      <c r="R284" s="700"/>
      <c r="S284" s="700">
        <v>282</v>
      </c>
      <c r="T284" s="700">
        <v>150</v>
      </c>
      <c r="U284" s="700"/>
      <c r="V284" s="700"/>
      <c r="W284" s="700"/>
      <c r="X284" s="700"/>
      <c r="Y284" s="699"/>
    </row>
    <row r="285" spans="12:25" x14ac:dyDescent="0.2">
      <c r="L285" s="700"/>
      <c r="M285" s="700"/>
      <c r="N285" s="700"/>
      <c r="O285" s="700"/>
      <c r="P285" s="700"/>
      <c r="Q285" s="700"/>
      <c r="R285" s="700"/>
      <c r="S285" s="700">
        <v>283</v>
      </c>
      <c r="T285" s="700">
        <v>150</v>
      </c>
      <c r="U285" s="700"/>
      <c r="V285" s="700"/>
      <c r="W285" s="700"/>
      <c r="X285" s="700"/>
      <c r="Y285" s="699"/>
    </row>
    <row r="286" spans="12:25" x14ac:dyDescent="0.2">
      <c r="L286" s="700"/>
      <c r="M286" s="700"/>
      <c r="N286" s="700"/>
      <c r="O286" s="700"/>
      <c r="P286" s="700"/>
      <c r="Q286" s="700"/>
      <c r="R286" s="700"/>
      <c r="S286" s="700">
        <v>284</v>
      </c>
      <c r="T286" s="700">
        <v>150</v>
      </c>
      <c r="U286" s="700"/>
      <c r="V286" s="700"/>
      <c r="W286" s="700"/>
      <c r="X286" s="700"/>
      <c r="Y286" s="699"/>
    </row>
    <row r="287" spans="12:25" x14ac:dyDescent="0.2">
      <c r="L287" s="700"/>
      <c r="M287" s="700"/>
      <c r="N287" s="700"/>
      <c r="O287" s="700"/>
      <c r="P287" s="700"/>
      <c r="Q287" s="700"/>
      <c r="R287" s="700"/>
      <c r="S287" s="700">
        <v>285</v>
      </c>
      <c r="T287" s="700">
        <v>150</v>
      </c>
      <c r="U287" s="700"/>
      <c r="V287" s="700"/>
      <c r="W287" s="700"/>
      <c r="X287" s="700"/>
      <c r="Y287" s="699"/>
    </row>
    <row r="288" spans="12:25" x14ac:dyDescent="0.2">
      <c r="L288" s="700"/>
      <c r="M288" s="700"/>
      <c r="N288" s="700"/>
      <c r="O288" s="700"/>
      <c r="P288" s="700"/>
      <c r="Q288" s="700"/>
      <c r="R288" s="700"/>
      <c r="S288" s="700">
        <v>286</v>
      </c>
      <c r="T288" s="700">
        <v>150</v>
      </c>
      <c r="U288" s="700"/>
      <c r="V288" s="700"/>
      <c r="W288" s="700"/>
      <c r="X288" s="700"/>
      <c r="Y288" s="699"/>
    </row>
    <row r="289" spans="12:25" x14ac:dyDescent="0.2">
      <c r="L289" s="700"/>
      <c r="M289" s="700"/>
      <c r="N289" s="700"/>
      <c r="O289" s="700"/>
      <c r="P289" s="700"/>
      <c r="Q289" s="700"/>
      <c r="R289" s="700"/>
      <c r="S289" s="700">
        <v>287</v>
      </c>
      <c r="T289" s="700">
        <v>150</v>
      </c>
      <c r="U289" s="700"/>
      <c r="V289" s="700"/>
      <c r="W289" s="700"/>
      <c r="X289" s="700"/>
      <c r="Y289" s="699"/>
    </row>
    <row r="290" spans="12:25" x14ac:dyDescent="0.2">
      <c r="L290" s="700"/>
      <c r="M290" s="700"/>
      <c r="N290" s="700"/>
      <c r="O290" s="700"/>
      <c r="P290" s="700"/>
      <c r="Q290" s="700"/>
      <c r="R290" s="700"/>
      <c r="S290" s="700">
        <v>288</v>
      </c>
      <c r="T290" s="700">
        <v>150</v>
      </c>
      <c r="U290" s="700"/>
      <c r="V290" s="700"/>
      <c r="W290" s="700"/>
      <c r="X290" s="700"/>
      <c r="Y290" s="699"/>
    </row>
    <row r="291" spans="12:25" x14ac:dyDescent="0.2">
      <c r="L291" s="700"/>
      <c r="M291" s="700"/>
      <c r="N291" s="700"/>
      <c r="O291" s="700"/>
      <c r="P291" s="700"/>
      <c r="Q291" s="700"/>
      <c r="R291" s="700"/>
      <c r="S291" s="700">
        <v>289</v>
      </c>
      <c r="T291" s="700">
        <v>150</v>
      </c>
      <c r="U291" s="700"/>
      <c r="V291" s="700"/>
      <c r="W291" s="700"/>
      <c r="X291" s="700"/>
      <c r="Y291" s="699"/>
    </row>
    <row r="292" spans="12:25" x14ac:dyDescent="0.2">
      <c r="L292" s="700"/>
      <c r="M292" s="700"/>
      <c r="N292" s="700"/>
      <c r="O292" s="700"/>
      <c r="P292" s="700"/>
      <c r="Q292" s="700"/>
      <c r="R292" s="700"/>
      <c r="S292" s="700">
        <v>290</v>
      </c>
      <c r="T292" s="700">
        <v>150</v>
      </c>
      <c r="U292" s="700"/>
      <c r="V292" s="700"/>
      <c r="W292" s="700"/>
      <c r="X292" s="700"/>
      <c r="Y292" s="699"/>
    </row>
    <row r="293" spans="12:25" x14ac:dyDescent="0.2">
      <c r="L293" s="700"/>
      <c r="M293" s="700"/>
      <c r="N293" s="700"/>
      <c r="O293" s="700"/>
      <c r="P293" s="700"/>
      <c r="Q293" s="700"/>
      <c r="R293" s="700"/>
      <c r="S293" s="700">
        <v>291</v>
      </c>
      <c r="T293" s="700">
        <v>150</v>
      </c>
      <c r="U293" s="700"/>
      <c r="V293" s="700"/>
      <c r="W293" s="700"/>
      <c r="X293" s="700"/>
      <c r="Y293" s="699"/>
    </row>
    <row r="294" spans="12:25" x14ac:dyDescent="0.2">
      <c r="L294" s="700"/>
      <c r="M294" s="700"/>
      <c r="N294" s="700"/>
      <c r="O294" s="700"/>
      <c r="P294" s="700"/>
      <c r="Q294" s="700"/>
      <c r="R294" s="700"/>
      <c r="S294" s="700">
        <v>292</v>
      </c>
      <c r="T294" s="700">
        <v>150</v>
      </c>
      <c r="U294" s="700"/>
      <c r="V294" s="700"/>
      <c r="W294" s="700"/>
      <c r="X294" s="700"/>
      <c r="Y294" s="699"/>
    </row>
    <row r="295" spans="12:25" x14ac:dyDescent="0.2">
      <c r="L295" s="700"/>
      <c r="M295" s="700"/>
      <c r="N295" s="700"/>
      <c r="O295" s="700"/>
      <c r="P295" s="700"/>
      <c r="Q295" s="700"/>
      <c r="R295" s="700"/>
      <c r="S295" s="700">
        <v>293</v>
      </c>
      <c r="T295" s="700">
        <v>150</v>
      </c>
      <c r="U295" s="700"/>
      <c r="V295" s="700"/>
      <c r="W295" s="700"/>
      <c r="X295" s="700"/>
      <c r="Y295" s="699"/>
    </row>
    <row r="296" spans="12:25" x14ac:dyDescent="0.2">
      <c r="L296" s="700"/>
      <c r="M296" s="700"/>
      <c r="N296" s="700"/>
      <c r="O296" s="700"/>
      <c r="P296" s="700"/>
      <c r="Q296" s="700"/>
      <c r="R296" s="700"/>
      <c r="S296" s="700">
        <v>294</v>
      </c>
      <c r="T296" s="700">
        <v>150</v>
      </c>
      <c r="U296" s="700"/>
      <c r="V296" s="700"/>
      <c r="W296" s="700"/>
      <c r="X296" s="700"/>
      <c r="Y296" s="699"/>
    </row>
    <row r="297" spans="12:25" x14ac:dyDescent="0.2">
      <c r="L297" s="700"/>
      <c r="M297" s="700"/>
      <c r="N297" s="700"/>
      <c r="O297" s="700"/>
      <c r="P297" s="700"/>
      <c r="Q297" s="700"/>
      <c r="R297" s="700"/>
      <c r="S297" s="700">
        <v>295</v>
      </c>
      <c r="T297" s="700">
        <v>150</v>
      </c>
      <c r="U297" s="700"/>
      <c r="V297" s="700"/>
      <c r="W297" s="700"/>
      <c r="X297" s="700"/>
      <c r="Y297" s="699"/>
    </row>
    <row r="298" spans="12:25" x14ac:dyDescent="0.2">
      <c r="L298" s="700"/>
      <c r="M298" s="700"/>
      <c r="N298" s="700"/>
      <c r="O298" s="700"/>
      <c r="P298" s="700"/>
      <c r="Q298" s="700"/>
      <c r="R298" s="700"/>
      <c r="S298" s="700">
        <v>296</v>
      </c>
      <c r="T298" s="700">
        <v>150</v>
      </c>
      <c r="U298" s="700"/>
      <c r="V298" s="700"/>
      <c r="W298" s="700"/>
      <c r="X298" s="700"/>
      <c r="Y298" s="699"/>
    </row>
    <row r="299" spans="12:25" x14ac:dyDescent="0.2">
      <c r="L299" s="700"/>
      <c r="M299" s="700"/>
      <c r="N299" s="700"/>
      <c r="O299" s="700"/>
      <c r="P299" s="700"/>
      <c r="Q299" s="700"/>
      <c r="R299" s="700"/>
      <c r="S299" s="700">
        <v>297</v>
      </c>
      <c r="T299" s="700">
        <v>150</v>
      </c>
      <c r="U299" s="700"/>
      <c r="V299" s="700"/>
      <c r="W299" s="700"/>
      <c r="X299" s="700"/>
      <c r="Y299" s="699"/>
    </row>
    <row r="300" spans="12:25" x14ac:dyDescent="0.2">
      <c r="L300" s="700"/>
      <c r="M300" s="700"/>
      <c r="N300" s="700"/>
      <c r="O300" s="700"/>
      <c r="P300" s="700"/>
      <c r="Q300" s="700"/>
      <c r="R300" s="700"/>
      <c r="S300" s="700">
        <v>298</v>
      </c>
      <c r="T300" s="700">
        <v>150</v>
      </c>
      <c r="U300" s="700"/>
      <c r="V300" s="700"/>
      <c r="W300" s="700"/>
      <c r="X300" s="700"/>
      <c r="Y300" s="699"/>
    </row>
    <row r="301" spans="12:25" x14ac:dyDescent="0.2">
      <c r="L301" s="700"/>
      <c r="M301" s="700"/>
      <c r="N301" s="700"/>
      <c r="O301" s="700"/>
      <c r="P301" s="700"/>
      <c r="Q301" s="700"/>
      <c r="R301" s="700"/>
      <c r="S301" s="700">
        <v>299</v>
      </c>
      <c r="T301" s="700">
        <v>150</v>
      </c>
      <c r="U301" s="700"/>
      <c r="V301" s="700"/>
      <c r="W301" s="700"/>
      <c r="X301" s="700"/>
      <c r="Y301" s="699"/>
    </row>
    <row r="302" spans="12:25" x14ac:dyDescent="0.2">
      <c r="L302" s="700"/>
      <c r="M302" s="700"/>
      <c r="N302" s="700"/>
      <c r="O302" s="700"/>
      <c r="P302" s="700"/>
      <c r="Q302" s="700"/>
      <c r="R302" s="700"/>
      <c r="S302" s="700">
        <v>300</v>
      </c>
      <c r="T302" s="700">
        <v>150</v>
      </c>
      <c r="U302" s="700">
        <v>300</v>
      </c>
      <c r="V302" s="700"/>
      <c r="W302" s="700"/>
      <c r="X302" s="700"/>
      <c r="Y302" s="699"/>
    </row>
    <row r="303" spans="12:25" x14ac:dyDescent="0.2">
      <c r="L303" s="700"/>
      <c r="M303" s="700"/>
      <c r="N303" s="700"/>
      <c r="O303" s="700"/>
      <c r="P303" s="700"/>
      <c r="Q303" s="700"/>
      <c r="R303" s="700"/>
      <c r="S303" s="700">
        <v>301</v>
      </c>
      <c r="T303" s="700">
        <v>150</v>
      </c>
      <c r="U303" s="700"/>
      <c r="V303" s="700"/>
      <c r="W303" s="700"/>
      <c r="X303" s="700"/>
      <c r="Y303" s="699"/>
    </row>
    <row r="304" spans="12:25" x14ac:dyDescent="0.2">
      <c r="L304" s="700"/>
      <c r="M304" s="700"/>
      <c r="N304" s="700"/>
      <c r="O304" s="700"/>
      <c r="P304" s="700"/>
      <c r="Q304" s="700"/>
      <c r="R304" s="700"/>
      <c r="S304" s="700">
        <v>302</v>
      </c>
      <c r="T304" s="700">
        <v>150</v>
      </c>
      <c r="U304" s="700"/>
      <c r="V304" s="700"/>
      <c r="W304" s="700"/>
      <c r="X304" s="700"/>
      <c r="Y304" s="699"/>
    </row>
    <row r="305" spans="12:25" x14ac:dyDescent="0.2">
      <c r="L305" s="700"/>
      <c r="M305" s="700"/>
      <c r="N305" s="700"/>
      <c r="O305" s="700"/>
      <c r="P305" s="700"/>
      <c r="Q305" s="700"/>
      <c r="R305" s="700"/>
      <c r="S305" s="700">
        <v>303</v>
      </c>
      <c r="T305" s="700">
        <v>150</v>
      </c>
      <c r="U305" s="700"/>
      <c r="V305" s="700"/>
      <c r="W305" s="700"/>
      <c r="X305" s="700"/>
      <c r="Y305" s="699"/>
    </row>
    <row r="306" spans="12:25" x14ac:dyDescent="0.2">
      <c r="L306" s="700"/>
      <c r="M306" s="700"/>
      <c r="N306" s="700"/>
      <c r="O306" s="700"/>
      <c r="P306" s="700"/>
      <c r="Q306" s="700"/>
      <c r="R306" s="700"/>
      <c r="S306" s="700">
        <v>304</v>
      </c>
      <c r="T306" s="700">
        <v>150</v>
      </c>
      <c r="U306" s="700"/>
      <c r="V306" s="700"/>
      <c r="W306" s="700"/>
      <c r="X306" s="700"/>
      <c r="Y306" s="699"/>
    </row>
    <row r="307" spans="12:25" x14ac:dyDescent="0.2">
      <c r="L307" s="700"/>
      <c r="M307" s="700"/>
      <c r="N307" s="700"/>
      <c r="O307" s="700"/>
      <c r="P307" s="700"/>
      <c r="Q307" s="700"/>
      <c r="R307" s="700"/>
      <c r="S307" s="700">
        <v>305</v>
      </c>
      <c r="T307" s="700">
        <v>150</v>
      </c>
      <c r="U307" s="700"/>
      <c r="V307" s="700"/>
      <c r="W307" s="700"/>
      <c r="X307" s="700"/>
      <c r="Y307" s="699"/>
    </row>
    <row r="308" spans="12:25" x14ac:dyDescent="0.2">
      <c r="L308" s="700"/>
      <c r="M308" s="700"/>
      <c r="N308" s="700"/>
      <c r="O308" s="700"/>
      <c r="P308" s="700"/>
      <c r="Q308" s="700"/>
      <c r="R308" s="700"/>
      <c r="S308" s="700">
        <v>306</v>
      </c>
      <c r="T308" s="700">
        <v>150</v>
      </c>
      <c r="U308" s="700"/>
      <c r="V308" s="700"/>
      <c r="W308" s="700"/>
      <c r="X308" s="700"/>
      <c r="Y308" s="699"/>
    </row>
    <row r="309" spans="12:25" x14ac:dyDescent="0.2">
      <c r="L309" s="700"/>
      <c r="M309" s="700"/>
      <c r="N309" s="700"/>
      <c r="O309" s="700"/>
      <c r="P309" s="700"/>
      <c r="Q309" s="700"/>
      <c r="R309" s="700"/>
      <c r="S309" s="700">
        <v>307</v>
      </c>
      <c r="T309" s="700">
        <v>150</v>
      </c>
      <c r="U309" s="700"/>
      <c r="V309" s="700"/>
      <c r="W309" s="700"/>
      <c r="X309" s="700"/>
      <c r="Y309" s="699"/>
    </row>
    <row r="310" spans="12:25" x14ac:dyDescent="0.2">
      <c r="L310" s="700"/>
      <c r="M310" s="700"/>
      <c r="N310" s="700"/>
      <c r="O310" s="700"/>
      <c r="P310" s="700"/>
      <c r="Q310" s="700"/>
      <c r="R310" s="700"/>
      <c r="S310" s="700">
        <v>308</v>
      </c>
      <c r="T310" s="700">
        <v>150</v>
      </c>
      <c r="U310" s="700"/>
      <c r="V310" s="700"/>
      <c r="W310" s="700"/>
      <c r="X310" s="700"/>
      <c r="Y310" s="699"/>
    </row>
    <row r="311" spans="12:25" x14ac:dyDescent="0.2">
      <c r="L311" s="700"/>
      <c r="M311" s="700"/>
      <c r="N311" s="700"/>
      <c r="O311" s="700"/>
      <c r="P311" s="700"/>
      <c r="Q311" s="700"/>
      <c r="R311" s="700"/>
      <c r="S311" s="700">
        <v>309</v>
      </c>
      <c r="T311" s="700">
        <v>150</v>
      </c>
      <c r="U311" s="700"/>
      <c r="V311" s="700"/>
      <c r="W311" s="700"/>
      <c r="X311" s="700"/>
      <c r="Y311" s="699"/>
    </row>
    <row r="312" spans="12:25" x14ac:dyDescent="0.2">
      <c r="L312" s="700"/>
      <c r="M312" s="700"/>
      <c r="N312" s="700"/>
      <c r="O312" s="700"/>
      <c r="P312" s="700"/>
      <c r="Q312" s="700"/>
      <c r="R312" s="700"/>
      <c r="S312" s="700">
        <v>310</v>
      </c>
      <c r="T312" s="700">
        <v>150</v>
      </c>
      <c r="U312" s="700"/>
      <c r="V312" s="700"/>
      <c r="W312" s="700"/>
      <c r="X312" s="700"/>
      <c r="Y312" s="699"/>
    </row>
    <row r="313" spans="12:25" x14ac:dyDescent="0.2">
      <c r="L313" s="700"/>
      <c r="M313" s="700"/>
      <c r="N313" s="700"/>
      <c r="O313" s="700"/>
      <c r="P313" s="700"/>
      <c r="Q313" s="700"/>
      <c r="R313" s="700"/>
      <c r="S313" s="700">
        <v>311</v>
      </c>
      <c r="T313" s="700">
        <v>150</v>
      </c>
      <c r="U313" s="700"/>
      <c r="V313" s="700"/>
      <c r="W313" s="700"/>
      <c r="X313" s="700"/>
      <c r="Y313" s="699"/>
    </row>
    <row r="314" spans="12:25" x14ac:dyDescent="0.2">
      <c r="L314" s="700"/>
      <c r="M314" s="700"/>
      <c r="N314" s="700"/>
      <c r="O314" s="700"/>
      <c r="P314" s="700"/>
      <c r="Q314" s="700"/>
      <c r="R314" s="700"/>
      <c r="S314" s="700">
        <v>312</v>
      </c>
      <c r="T314" s="700">
        <v>150</v>
      </c>
      <c r="U314" s="700"/>
      <c r="V314" s="700"/>
      <c r="W314" s="700"/>
      <c r="X314" s="700"/>
      <c r="Y314" s="699"/>
    </row>
    <row r="315" spans="12:25" x14ac:dyDescent="0.2">
      <c r="L315" s="700"/>
      <c r="M315" s="700"/>
      <c r="N315" s="700"/>
      <c r="O315" s="700"/>
      <c r="P315" s="700"/>
      <c r="Q315" s="700"/>
      <c r="R315" s="700"/>
      <c r="S315" s="700">
        <v>313</v>
      </c>
      <c r="T315" s="700">
        <v>150</v>
      </c>
      <c r="U315" s="700"/>
      <c r="V315" s="700"/>
      <c r="W315" s="700"/>
      <c r="X315" s="700"/>
      <c r="Y315" s="699"/>
    </row>
    <row r="316" spans="12:25" x14ac:dyDescent="0.2">
      <c r="L316" s="700"/>
      <c r="M316" s="700"/>
      <c r="N316" s="700"/>
      <c r="O316" s="700"/>
      <c r="P316" s="700"/>
      <c r="Q316" s="700"/>
      <c r="R316" s="700"/>
      <c r="S316" s="700">
        <v>314</v>
      </c>
      <c r="T316" s="700">
        <v>150</v>
      </c>
      <c r="U316" s="700"/>
      <c r="V316" s="700"/>
      <c r="W316" s="700"/>
      <c r="X316" s="700"/>
      <c r="Y316" s="699"/>
    </row>
    <row r="317" spans="12:25" x14ac:dyDescent="0.2">
      <c r="L317" s="700"/>
      <c r="M317" s="700"/>
      <c r="N317" s="700"/>
      <c r="O317" s="700"/>
      <c r="P317" s="700"/>
      <c r="Q317" s="700"/>
      <c r="R317" s="700"/>
      <c r="S317" s="700">
        <v>315</v>
      </c>
      <c r="T317" s="700">
        <v>150</v>
      </c>
      <c r="U317" s="700"/>
      <c r="V317" s="700"/>
      <c r="W317" s="700"/>
      <c r="X317" s="700"/>
      <c r="Y317" s="699"/>
    </row>
    <row r="318" spans="12:25" x14ac:dyDescent="0.2">
      <c r="L318" s="700"/>
      <c r="M318" s="700"/>
      <c r="N318" s="700"/>
      <c r="O318" s="700"/>
      <c r="P318" s="700"/>
      <c r="Q318" s="700"/>
      <c r="R318" s="700"/>
      <c r="S318" s="700">
        <v>316</v>
      </c>
      <c r="T318" s="700">
        <v>150</v>
      </c>
      <c r="U318" s="700"/>
      <c r="V318" s="700"/>
      <c r="W318" s="700"/>
      <c r="X318" s="700"/>
      <c r="Y318" s="699"/>
    </row>
    <row r="319" spans="12:25" x14ac:dyDescent="0.2">
      <c r="L319" s="700"/>
      <c r="M319" s="700"/>
      <c r="N319" s="700"/>
      <c r="O319" s="700"/>
      <c r="P319" s="700"/>
      <c r="Q319" s="700"/>
      <c r="R319" s="700"/>
      <c r="S319" s="700">
        <v>317</v>
      </c>
      <c r="T319" s="700">
        <v>150</v>
      </c>
      <c r="U319" s="700"/>
      <c r="V319" s="700"/>
      <c r="W319" s="700"/>
      <c r="X319" s="700"/>
      <c r="Y319" s="699"/>
    </row>
    <row r="320" spans="12:25" x14ac:dyDescent="0.2">
      <c r="L320" s="700"/>
      <c r="M320" s="700"/>
      <c r="N320" s="700"/>
      <c r="O320" s="700"/>
      <c r="P320" s="700"/>
      <c r="Q320" s="700"/>
      <c r="R320" s="700"/>
      <c r="S320" s="700">
        <v>318</v>
      </c>
      <c r="T320" s="700">
        <v>150</v>
      </c>
      <c r="U320" s="700"/>
      <c r="V320" s="700"/>
      <c r="W320" s="700"/>
      <c r="X320" s="700"/>
      <c r="Y320" s="699"/>
    </row>
    <row r="321" spans="12:25" x14ac:dyDescent="0.2">
      <c r="L321" s="700"/>
      <c r="M321" s="700"/>
      <c r="N321" s="700"/>
      <c r="O321" s="700"/>
      <c r="P321" s="700"/>
      <c r="Q321" s="700"/>
      <c r="R321" s="700"/>
      <c r="S321" s="700">
        <v>319</v>
      </c>
      <c r="T321" s="700">
        <v>150</v>
      </c>
      <c r="U321" s="700"/>
      <c r="V321" s="700"/>
      <c r="W321" s="700"/>
      <c r="X321" s="700"/>
      <c r="Y321" s="699"/>
    </row>
    <row r="322" spans="12:25" x14ac:dyDescent="0.2">
      <c r="L322" s="700"/>
      <c r="M322" s="700"/>
      <c r="N322" s="700"/>
      <c r="O322" s="700"/>
      <c r="P322" s="700"/>
      <c r="Q322" s="700"/>
      <c r="R322" s="700"/>
      <c r="S322" s="700">
        <v>320</v>
      </c>
      <c r="T322" s="700">
        <v>150</v>
      </c>
      <c r="U322" s="700"/>
      <c r="V322" s="700"/>
      <c r="W322" s="700"/>
      <c r="X322" s="700"/>
      <c r="Y322" s="699"/>
    </row>
    <row r="323" spans="12:25" x14ac:dyDescent="0.2">
      <c r="L323" s="700"/>
      <c r="M323" s="700"/>
      <c r="N323" s="700"/>
      <c r="O323" s="700"/>
      <c r="P323" s="700"/>
      <c r="Q323" s="700"/>
      <c r="R323" s="700"/>
      <c r="S323" s="700">
        <v>321</v>
      </c>
      <c r="T323" s="700">
        <v>150</v>
      </c>
      <c r="U323" s="700"/>
      <c r="V323" s="700"/>
      <c r="W323" s="700"/>
      <c r="X323" s="700"/>
      <c r="Y323" s="699"/>
    </row>
    <row r="324" spans="12:25" x14ac:dyDescent="0.2">
      <c r="L324" s="700"/>
      <c r="M324" s="700"/>
      <c r="N324" s="700"/>
      <c r="O324" s="700"/>
      <c r="P324" s="700"/>
      <c r="Q324" s="700"/>
      <c r="R324" s="700"/>
      <c r="S324" s="700">
        <v>322</v>
      </c>
      <c r="T324" s="700">
        <v>150</v>
      </c>
      <c r="U324" s="700"/>
      <c r="V324" s="700"/>
      <c r="W324" s="700"/>
      <c r="X324" s="700"/>
      <c r="Y324" s="699"/>
    </row>
    <row r="325" spans="12:25" x14ac:dyDescent="0.2">
      <c r="L325" s="700"/>
      <c r="M325" s="700"/>
      <c r="N325" s="700"/>
      <c r="O325" s="700"/>
      <c r="P325" s="700"/>
      <c r="Q325" s="700"/>
      <c r="R325" s="700"/>
      <c r="S325" s="700">
        <v>323</v>
      </c>
      <c r="T325" s="700">
        <v>150</v>
      </c>
      <c r="U325" s="700"/>
      <c r="V325" s="700"/>
      <c r="W325" s="700"/>
      <c r="X325" s="700"/>
      <c r="Y325" s="699"/>
    </row>
    <row r="326" spans="12:25" x14ac:dyDescent="0.2">
      <c r="L326" s="700"/>
      <c r="M326" s="700"/>
      <c r="N326" s="700"/>
      <c r="O326" s="700"/>
      <c r="P326" s="700"/>
      <c r="Q326" s="700"/>
      <c r="R326" s="700"/>
      <c r="S326" s="700">
        <v>324</v>
      </c>
      <c r="T326" s="700">
        <v>150</v>
      </c>
      <c r="U326" s="700"/>
      <c r="V326" s="700"/>
      <c r="W326" s="700"/>
      <c r="X326" s="700"/>
      <c r="Y326" s="699"/>
    </row>
    <row r="327" spans="12:25" x14ac:dyDescent="0.2">
      <c r="L327" s="700"/>
      <c r="M327" s="700"/>
      <c r="N327" s="700"/>
      <c r="O327" s="700"/>
      <c r="P327" s="700"/>
      <c r="Q327" s="700"/>
      <c r="R327" s="700"/>
      <c r="S327" s="700">
        <v>325</v>
      </c>
      <c r="T327" s="700">
        <v>150</v>
      </c>
      <c r="U327" s="700"/>
      <c r="V327" s="700"/>
      <c r="W327" s="700"/>
      <c r="X327" s="700"/>
      <c r="Y327" s="699"/>
    </row>
    <row r="328" spans="12:25" x14ac:dyDescent="0.2">
      <c r="L328" s="700"/>
      <c r="M328" s="700"/>
      <c r="N328" s="700"/>
      <c r="O328" s="700"/>
      <c r="P328" s="700"/>
      <c r="Q328" s="700"/>
      <c r="R328" s="700"/>
      <c r="S328" s="700">
        <v>326</v>
      </c>
      <c r="T328" s="700">
        <v>150</v>
      </c>
      <c r="U328" s="700"/>
      <c r="V328" s="700"/>
      <c r="W328" s="700"/>
      <c r="X328" s="700"/>
      <c r="Y328" s="699"/>
    </row>
    <row r="329" spans="12:25" x14ac:dyDescent="0.2">
      <c r="L329" s="700"/>
      <c r="M329" s="700"/>
      <c r="N329" s="700"/>
      <c r="O329" s="700"/>
      <c r="P329" s="700"/>
      <c r="Q329" s="700"/>
      <c r="R329" s="700"/>
      <c r="S329" s="700">
        <v>327</v>
      </c>
      <c r="T329" s="700">
        <v>150</v>
      </c>
      <c r="U329" s="700"/>
      <c r="V329" s="700"/>
      <c r="W329" s="700"/>
      <c r="X329" s="700"/>
      <c r="Y329" s="699"/>
    </row>
    <row r="330" spans="12:25" x14ac:dyDescent="0.2">
      <c r="L330" s="700"/>
      <c r="M330" s="700"/>
      <c r="N330" s="700"/>
      <c r="O330" s="700"/>
      <c r="P330" s="700"/>
      <c r="Q330" s="700"/>
      <c r="R330" s="700"/>
      <c r="S330" s="700">
        <v>328</v>
      </c>
      <c r="T330" s="700">
        <v>150</v>
      </c>
      <c r="U330" s="700"/>
      <c r="V330" s="700"/>
      <c r="W330" s="700"/>
      <c r="X330" s="700"/>
      <c r="Y330" s="699"/>
    </row>
    <row r="331" spans="12:25" x14ac:dyDescent="0.2">
      <c r="L331" s="700"/>
      <c r="M331" s="700"/>
      <c r="N331" s="700"/>
      <c r="O331" s="700"/>
      <c r="P331" s="700"/>
      <c r="Q331" s="700"/>
      <c r="R331" s="700"/>
      <c r="S331" s="700">
        <v>329</v>
      </c>
      <c r="T331" s="700">
        <v>150</v>
      </c>
      <c r="U331" s="700"/>
      <c r="V331" s="700"/>
      <c r="W331" s="700"/>
      <c r="X331" s="700"/>
      <c r="Y331" s="699"/>
    </row>
    <row r="332" spans="12:25" x14ac:dyDescent="0.2">
      <c r="L332" s="700"/>
      <c r="M332" s="700"/>
      <c r="N332" s="700"/>
      <c r="O332" s="700"/>
      <c r="P332" s="700"/>
      <c r="Q332" s="700"/>
      <c r="R332" s="700"/>
      <c r="S332" s="700">
        <v>330</v>
      </c>
      <c r="T332" s="700">
        <v>150</v>
      </c>
      <c r="U332" s="700"/>
      <c r="V332" s="700"/>
      <c r="W332" s="700"/>
      <c r="X332" s="700"/>
      <c r="Y332" s="699"/>
    </row>
    <row r="333" spans="12:25" x14ac:dyDescent="0.2">
      <c r="L333" s="700"/>
      <c r="M333" s="700"/>
      <c r="N333" s="700"/>
      <c r="O333" s="700"/>
      <c r="P333" s="700"/>
      <c r="Q333" s="700"/>
      <c r="R333" s="700"/>
      <c r="S333" s="700">
        <v>331</v>
      </c>
      <c r="T333" s="700">
        <v>150</v>
      </c>
      <c r="U333" s="700"/>
      <c r="V333" s="700"/>
      <c r="W333" s="700"/>
      <c r="X333" s="700"/>
      <c r="Y333" s="699"/>
    </row>
    <row r="334" spans="12:25" x14ac:dyDescent="0.2">
      <c r="L334" s="700"/>
      <c r="M334" s="700"/>
      <c r="N334" s="700"/>
      <c r="O334" s="700"/>
      <c r="P334" s="700"/>
      <c r="Q334" s="700"/>
      <c r="R334" s="700"/>
      <c r="S334" s="700">
        <v>332</v>
      </c>
      <c r="T334" s="700">
        <v>150</v>
      </c>
      <c r="U334" s="700"/>
      <c r="V334" s="700"/>
      <c r="W334" s="700"/>
      <c r="X334" s="700"/>
      <c r="Y334" s="699"/>
    </row>
    <row r="335" spans="12:25" x14ac:dyDescent="0.2">
      <c r="L335" s="700"/>
      <c r="M335" s="700"/>
      <c r="N335" s="700"/>
      <c r="O335" s="700"/>
      <c r="P335" s="700"/>
      <c r="Q335" s="700"/>
      <c r="R335" s="700"/>
      <c r="S335" s="700">
        <v>333</v>
      </c>
      <c r="T335" s="700">
        <v>150</v>
      </c>
      <c r="U335" s="700"/>
      <c r="V335" s="700"/>
      <c r="W335" s="700"/>
      <c r="X335" s="700"/>
      <c r="Y335" s="699"/>
    </row>
    <row r="336" spans="12:25" x14ac:dyDescent="0.2">
      <c r="L336" s="700"/>
      <c r="M336" s="700"/>
      <c r="N336" s="700"/>
      <c r="O336" s="700"/>
      <c r="P336" s="700"/>
      <c r="Q336" s="700"/>
      <c r="R336" s="700"/>
      <c r="S336" s="700">
        <v>334</v>
      </c>
      <c r="T336" s="700">
        <v>150</v>
      </c>
      <c r="U336" s="700"/>
      <c r="V336" s="700"/>
      <c r="W336" s="700"/>
      <c r="X336" s="700"/>
      <c r="Y336" s="699"/>
    </row>
    <row r="337" spans="12:25" x14ac:dyDescent="0.2">
      <c r="L337" s="700"/>
      <c r="M337" s="700"/>
      <c r="N337" s="700"/>
      <c r="O337" s="700"/>
      <c r="P337" s="700"/>
      <c r="Q337" s="700"/>
      <c r="R337" s="700"/>
      <c r="S337" s="700">
        <v>335</v>
      </c>
      <c r="T337" s="700">
        <v>150</v>
      </c>
      <c r="U337" s="700"/>
      <c r="V337" s="700"/>
      <c r="W337" s="700"/>
      <c r="X337" s="700"/>
      <c r="Y337" s="699"/>
    </row>
    <row r="338" spans="12:25" x14ac:dyDescent="0.2">
      <c r="L338" s="700"/>
      <c r="M338" s="700"/>
      <c r="N338" s="700"/>
      <c r="O338" s="700"/>
      <c r="P338" s="700"/>
      <c r="Q338" s="700"/>
      <c r="R338" s="700"/>
      <c r="S338" s="700">
        <v>336</v>
      </c>
      <c r="T338" s="700">
        <v>150</v>
      </c>
      <c r="U338" s="700"/>
      <c r="V338" s="700"/>
      <c r="W338" s="700"/>
      <c r="X338" s="700"/>
      <c r="Y338" s="699"/>
    </row>
    <row r="339" spans="12:25" x14ac:dyDescent="0.2">
      <c r="L339" s="700"/>
      <c r="M339" s="700"/>
      <c r="N339" s="700"/>
      <c r="O339" s="700"/>
      <c r="P339" s="700"/>
      <c r="Q339" s="700"/>
      <c r="R339" s="700"/>
      <c r="S339" s="700">
        <v>337</v>
      </c>
      <c r="T339" s="700">
        <v>150</v>
      </c>
      <c r="U339" s="700"/>
      <c r="V339" s="700"/>
      <c r="W339" s="700"/>
      <c r="X339" s="700"/>
      <c r="Y339" s="699"/>
    </row>
    <row r="340" spans="12:25" x14ac:dyDescent="0.2">
      <c r="L340" s="700"/>
      <c r="M340" s="700"/>
      <c r="N340" s="700"/>
      <c r="O340" s="700"/>
      <c r="P340" s="700"/>
      <c r="Q340" s="700"/>
      <c r="R340" s="700"/>
      <c r="S340" s="700">
        <v>338</v>
      </c>
      <c r="T340" s="700">
        <v>150</v>
      </c>
      <c r="U340" s="700"/>
      <c r="V340" s="700"/>
      <c r="W340" s="700"/>
      <c r="X340" s="700"/>
      <c r="Y340" s="699"/>
    </row>
    <row r="341" spans="12:25" x14ac:dyDescent="0.2">
      <c r="L341" s="700"/>
      <c r="M341" s="700"/>
      <c r="N341" s="700"/>
      <c r="O341" s="700"/>
      <c r="P341" s="700"/>
      <c r="Q341" s="700"/>
      <c r="R341" s="700"/>
      <c r="S341" s="700">
        <v>339</v>
      </c>
      <c r="T341" s="700">
        <v>150</v>
      </c>
      <c r="U341" s="700"/>
      <c r="V341" s="700"/>
      <c r="W341" s="700"/>
      <c r="X341" s="700"/>
      <c r="Y341" s="699"/>
    </row>
    <row r="342" spans="12:25" x14ac:dyDescent="0.2">
      <c r="L342" s="700"/>
      <c r="M342" s="700"/>
      <c r="N342" s="700"/>
      <c r="O342" s="700"/>
      <c r="P342" s="700"/>
      <c r="Q342" s="700"/>
      <c r="R342" s="700"/>
      <c r="S342" s="700">
        <v>340</v>
      </c>
      <c r="T342" s="700">
        <v>150</v>
      </c>
      <c r="U342" s="700"/>
      <c r="V342" s="700"/>
      <c r="W342" s="700"/>
      <c r="X342" s="700"/>
      <c r="Y342" s="699"/>
    </row>
    <row r="343" spans="12:25" x14ac:dyDescent="0.2">
      <c r="L343" s="700"/>
      <c r="M343" s="700"/>
      <c r="N343" s="700"/>
      <c r="O343" s="700"/>
      <c r="P343" s="700"/>
      <c r="Q343" s="700"/>
      <c r="R343" s="700"/>
      <c r="S343" s="700">
        <v>341</v>
      </c>
      <c r="T343" s="700">
        <v>150</v>
      </c>
      <c r="U343" s="700"/>
      <c r="V343" s="700"/>
      <c r="W343" s="700"/>
      <c r="X343" s="700"/>
      <c r="Y343" s="699"/>
    </row>
    <row r="344" spans="12:25" x14ac:dyDescent="0.2">
      <c r="L344" s="700"/>
      <c r="M344" s="700"/>
      <c r="N344" s="700"/>
      <c r="O344" s="700"/>
      <c r="P344" s="700"/>
      <c r="Q344" s="700"/>
      <c r="R344" s="700"/>
      <c r="S344" s="700">
        <v>342</v>
      </c>
      <c r="T344" s="700">
        <v>150</v>
      </c>
      <c r="U344" s="700"/>
      <c r="V344" s="700"/>
      <c r="W344" s="700"/>
      <c r="X344" s="700"/>
      <c r="Y344" s="699"/>
    </row>
    <row r="345" spans="12:25" x14ac:dyDescent="0.2">
      <c r="L345" s="700"/>
      <c r="M345" s="700"/>
      <c r="N345" s="700"/>
      <c r="O345" s="700"/>
      <c r="P345" s="700"/>
      <c r="Q345" s="700"/>
      <c r="R345" s="700"/>
      <c r="S345" s="700">
        <v>343</v>
      </c>
      <c r="T345" s="700">
        <v>150</v>
      </c>
      <c r="U345" s="700"/>
      <c r="V345" s="700"/>
      <c r="W345" s="700"/>
      <c r="X345" s="700"/>
      <c r="Y345" s="699"/>
    </row>
    <row r="346" spans="12:25" x14ac:dyDescent="0.2">
      <c r="L346" s="700"/>
      <c r="M346" s="700"/>
      <c r="N346" s="700"/>
      <c r="O346" s="700"/>
      <c r="P346" s="700"/>
      <c r="Q346" s="700"/>
      <c r="R346" s="700"/>
      <c r="S346" s="700">
        <v>344</v>
      </c>
      <c r="T346" s="700">
        <v>150</v>
      </c>
      <c r="U346" s="700"/>
      <c r="V346" s="700"/>
      <c r="W346" s="700"/>
      <c r="X346" s="700"/>
      <c r="Y346" s="699"/>
    </row>
    <row r="347" spans="12:25" x14ac:dyDescent="0.2">
      <c r="L347" s="700"/>
      <c r="M347" s="700"/>
      <c r="N347" s="700"/>
      <c r="O347" s="700"/>
      <c r="P347" s="700"/>
      <c r="Q347" s="700"/>
      <c r="R347" s="700"/>
      <c r="S347" s="700">
        <v>345</v>
      </c>
      <c r="T347" s="700">
        <v>150</v>
      </c>
      <c r="U347" s="700"/>
      <c r="V347" s="700"/>
      <c r="W347" s="700"/>
      <c r="X347" s="700"/>
      <c r="Y347" s="699"/>
    </row>
    <row r="348" spans="12:25" x14ac:dyDescent="0.2">
      <c r="L348" s="700"/>
      <c r="M348" s="700"/>
      <c r="N348" s="700"/>
      <c r="O348" s="700"/>
      <c r="P348" s="700"/>
      <c r="Q348" s="700"/>
      <c r="R348" s="700"/>
      <c r="S348" s="700">
        <v>346</v>
      </c>
      <c r="T348" s="700">
        <v>150</v>
      </c>
      <c r="U348" s="700"/>
      <c r="V348" s="700"/>
      <c r="W348" s="700"/>
      <c r="X348" s="700"/>
      <c r="Y348" s="699"/>
    </row>
    <row r="349" spans="12:25" x14ac:dyDescent="0.2">
      <c r="L349" s="700"/>
      <c r="M349" s="700"/>
      <c r="N349" s="700"/>
      <c r="O349" s="700"/>
      <c r="P349" s="700"/>
      <c r="Q349" s="700"/>
      <c r="R349" s="700"/>
      <c r="S349" s="700">
        <v>347</v>
      </c>
      <c r="T349" s="700">
        <v>150</v>
      </c>
      <c r="U349" s="700"/>
      <c r="V349" s="700"/>
      <c r="W349" s="700"/>
      <c r="X349" s="700"/>
      <c r="Y349" s="699"/>
    </row>
    <row r="350" spans="12:25" x14ac:dyDescent="0.2">
      <c r="L350" s="700"/>
      <c r="M350" s="700"/>
      <c r="N350" s="700"/>
      <c r="O350" s="700"/>
      <c r="P350" s="700"/>
      <c r="Q350" s="700"/>
      <c r="R350" s="700"/>
      <c r="S350" s="700">
        <v>348</v>
      </c>
      <c r="T350" s="700">
        <v>150</v>
      </c>
      <c r="U350" s="700"/>
      <c r="V350" s="700"/>
      <c r="W350" s="700"/>
      <c r="X350" s="700"/>
      <c r="Y350" s="699"/>
    </row>
    <row r="351" spans="12:25" x14ac:dyDescent="0.2">
      <c r="L351" s="700"/>
      <c r="M351" s="700"/>
      <c r="N351" s="700"/>
      <c r="O351" s="700"/>
      <c r="P351" s="700"/>
      <c r="Q351" s="700"/>
      <c r="R351" s="700"/>
      <c r="S351" s="700">
        <v>349</v>
      </c>
      <c r="T351" s="700">
        <v>150</v>
      </c>
      <c r="U351" s="700"/>
      <c r="V351" s="700"/>
      <c r="W351" s="700"/>
      <c r="X351" s="700"/>
      <c r="Y351" s="699"/>
    </row>
    <row r="352" spans="12:25" x14ac:dyDescent="0.2">
      <c r="L352" s="700"/>
      <c r="M352" s="700"/>
      <c r="N352" s="700"/>
      <c r="O352" s="700"/>
      <c r="P352" s="700"/>
      <c r="Q352" s="700"/>
      <c r="R352" s="700"/>
      <c r="S352" s="700">
        <v>350</v>
      </c>
      <c r="T352" s="700">
        <v>150</v>
      </c>
      <c r="U352" s="700"/>
      <c r="V352" s="700"/>
      <c r="W352" s="700"/>
      <c r="X352" s="700"/>
      <c r="Y352" s="699"/>
    </row>
    <row r="353" spans="12:25" x14ac:dyDescent="0.2">
      <c r="L353" s="700"/>
      <c r="M353" s="700"/>
      <c r="N353" s="700"/>
      <c r="O353" s="700"/>
      <c r="P353" s="700"/>
      <c r="Q353" s="700"/>
      <c r="R353" s="700"/>
      <c r="S353" s="700">
        <v>351</v>
      </c>
      <c r="T353" s="700">
        <v>150</v>
      </c>
      <c r="U353" s="700"/>
      <c r="V353" s="700"/>
      <c r="W353" s="700"/>
      <c r="X353" s="700"/>
      <c r="Y353" s="699"/>
    </row>
    <row r="354" spans="12:25" x14ac:dyDescent="0.2">
      <c r="L354" s="700"/>
      <c r="M354" s="700"/>
      <c r="N354" s="700"/>
      <c r="O354" s="700"/>
      <c r="P354" s="700"/>
      <c r="Q354" s="700"/>
      <c r="R354" s="700"/>
      <c r="S354" s="700">
        <v>352</v>
      </c>
      <c r="T354" s="700">
        <v>150</v>
      </c>
      <c r="U354" s="700"/>
      <c r="V354" s="700"/>
      <c r="W354" s="700"/>
      <c r="X354" s="700"/>
      <c r="Y354" s="699"/>
    </row>
    <row r="355" spans="12:25" x14ac:dyDescent="0.2">
      <c r="L355" s="700"/>
      <c r="M355" s="700"/>
      <c r="N355" s="700"/>
      <c r="O355" s="700"/>
      <c r="P355" s="700"/>
      <c r="Q355" s="700"/>
      <c r="R355" s="700"/>
      <c r="S355" s="700">
        <v>353</v>
      </c>
      <c r="T355" s="700">
        <v>150</v>
      </c>
      <c r="U355" s="700"/>
      <c r="V355" s="700"/>
      <c r="W355" s="700"/>
      <c r="X355" s="700"/>
      <c r="Y355" s="699"/>
    </row>
    <row r="356" spans="12:25" x14ac:dyDescent="0.2">
      <c r="L356" s="700"/>
      <c r="M356" s="700"/>
      <c r="N356" s="700"/>
      <c r="O356" s="700"/>
      <c r="P356" s="700"/>
      <c r="Q356" s="700"/>
      <c r="R356" s="700"/>
      <c r="S356" s="700">
        <v>354</v>
      </c>
      <c r="T356" s="700">
        <v>150</v>
      </c>
      <c r="U356" s="700"/>
      <c r="V356" s="700"/>
      <c r="W356" s="700"/>
      <c r="X356" s="700"/>
      <c r="Y356" s="699"/>
    </row>
    <row r="357" spans="12:25" x14ac:dyDescent="0.2">
      <c r="L357" s="700"/>
      <c r="M357" s="700"/>
      <c r="N357" s="700"/>
      <c r="O357" s="700"/>
      <c r="P357" s="700"/>
      <c r="Q357" s="700"/>
      <c r="R357" s="700"/>
      <c r="S357" s="700">
        <v>355</v>
      </c>
      <c r="T357" s="700">
        <v>150</v>
      </c>
      <c r="U357" s="700"/>
      <c r="V357" s="700"/>
      <c r="W357" s="700"/>
      <c r="X357" s="700"/>
      <c r="Y357" s="699"/>
    </row>
    <row r="358" spans="12:25" x14ac:dyDescent="0.2">
      <c r="L358" s="700"/>
      <c r="M358" s="700"/>
      <c r="N358" s="700"/>
      <c r="O358" s="700"/>
      <c r="P358" s="700"/>
      <c r="Q358" s="700"/>
      <c r="R358" s="700"/>
      <c r="S358" s="700">
        <v>356</v>
      </c>
      <c r="T358" s="700">
        <v>150</v>
      </c>
      <c r="U358" s="700"/>
      <c r="V358" s="700"/>
      <c r="W358" s="700"/>
      <c r="X358" s="700"/>
      <c r="Y358" s="699"/>
    </row>
    <row r="359" spans="12:25" x14ac:dyDescent="0.2">
      <c r="L359" s="700"/>
      <c r="M359" s="700"/>
      <c r="N359" s="700"/>
      <c r="O359" s="700"/>
      <c r="P359" s="700"/>
      <c r="Q359" s="700"/>
      <c r="R359" s="700"/>
      <c r="S359" s="700">
        <v>357</v>
      </c>
      <c r="T359" s="700">
        <v>150</v>
      </c>
      <c r="U359" s="700"/>
      <c r="V359" s="700"/>
      <c r="W359" s="700"/>
      <c r="X359" s="700"/>
      <c r="Y359" s="699"/>
    </row>
    <row r="360" spans="12:25" x14ac:dyDescent="0.2">
      <c r="L360" s="700"/>
      <c r="M360" s="700"/>
      <c r="N360" s="700"/>
      <c r="O360" s="700"/>
      <c r="P360" s="700"/>
      <c r="Q360" s="700"/>
      <c r="R360" s="700"/>
      <c r="S360" s="700">
        <v>358</v>
      </c>
      <c r="T360" s="700">
        <v>150</v>
      </c>
      <c r="U360" s="700"/>
      <c r="V360" s="700"/>
      <c r="W360" s="700"/>
      <c r="X360" s="700"/>
      <c r="Y360" s="699"/>
    </row>
    <row r="361" spans="12:25" x14ac:dyDescent="0.2">
      <c r="L361" s="700"/>
      <c r="M361" s="700"/>
      <c r="N361" s="700"/>
      <c r="O361" s="700"/>
      <c r="P361" s="700"/>
      <c r="Q361" s="700"/>
      <c r="R361" s="700"/>
      <c r="S361" s="700">
        <v>359</v>
      </c>
      <c r="T361" s="700">
        <v>150</v>
      </c>
      <c r="U361" s="700"/>
      <c r="V361" s="700"/>
      <c r="W361" s="700"/>
      <c r="X361" s="700"/>
      <c r="Y361" s="699"/>
    </row>
    <row r="362" spans="12:25" x14ac:dyDescent="0.2">
      <c r="L362" s="700"/>
      <c r="M362" s="700"/>
      <c r="N362" s="700"/>
      <c r="O362" s="700"/>
      <c r="P362" s="700"/>
      <c r="Q362" s="700"/>
      <c r="R362" s="700"/>
      <c r="S362" s="700">
        <v>360</v>
      </c>
      <c r="T362" s="700">
        <v>150</v>
      </c>
      <c r="U362" s="700">
        <v>360</v>
      </c>
      <c r="V362" s="700"/>
      <c r="W362" s="700"/>
      <c r="X362" s="700"/>
      <c r="Y362" s="699"/>
    </row>
    <row r="363" spans="12:25" x14ac:dyDescent="0.2">
      <c r="L363" s="700"/>
      <c r="M363" s="700"/>
      <c r="N363" s="700"/>
      <c r="O363" s="700"/>
      <c r="P363" s="700"/>
      <c r="Q363" s="700"/>
      <c r="R363" s="700"/>
      <c r="S363" s="700"/>
      <c r="T363" s="700"/>
      <c r="U363" s="700"/>
      <c r="V363" s="700"/>
      <c r="W363" s="700"/>
      <c r="X363" s="700"/>
      <c r="Y363" s="699"/>
    </row>
    <row r="364" spans="12:25" x14ac:dyDescent="0.2">
      <c r="L364" s="700"/>
      <c r="M364" s="700"/>
      <c r="N364" s="700"/>
      <c r="O364" s="700"/>
      <c r="P364" s="700"/>
      <c r="Q364" s="700"/>
      <c r="R364" s="700"/>
      <c r="S364" s="700"/>
      <c r="T364" s="700"/>
      <c r="U364" s="700"/>
      <c r="V364" s="700"/>
      <c r="W364" s="700"/>
      <c r="X364" s="700"/>
      <c r="Y364" s="699"/>
    </row>
    <row r="365" spans="12:25" x14ac:dyDescent="0.2">
      <c r="L365" s="700"/>
      <c r="M365" s="700"/>
      <c r="N365" s="700"/>
      <c r="O365" s="700"/>
      <c r="P365" s="700"/>
      <c r="Q365" s="700"/>
      <c r="R365" s="700"/>
      <c r="S365" s="700"/>
      <c r="T365" s="700"/>
      <c r="U365" s="700"/>
      <c r="V365" s="700"/>
      <c r="W365" s="700"/>
      <c r="X365" s="700"/>
      <c r="Y365" s="699"/>
    </row>
    <row r="366" spans="12:25" x14ac:dyDescent="0.2">
      <c r="L366" s="700"/>
      <c r="M366" s="700"/>
      <c r="N366" s="700"/>
      <c r="O366" s="700"/>
      <c r="P366" s="700"/>
      <c r="Q366" s="700"/>
      <c r="R366" s="700"/>
      <c r="S366" s="700"/>
      <c r="T366" s="700"/>
      <c r="U366" s="700"/>
      <c r="V366" s="700"/>
      <c r="W366" s="700"/>
      <c r="X366" s="700"/>
      <c r="Y366" s="699"/>
    </row>
    <row r="367" spans="12:25" x14ac:dyDescent="0.2">
      <c r="L367" s="700"/>
      <c r="M367" s="700"/>
      <c r="N367" s="700"/>
      <c r="O367" s="700"/>
      <c r="P367" s="700"/>
      <c r="Q367" s="700"/>
      <c r="R367" s="700"/>
      <c r="S367" s="700"/>
      <c r="T367" s="700"/>
      <c r="U367" s="700"/>
      <c r="V367" s="700"/>
      <c r="W367" s="700"/>
      <c r="X367" s="700"/>
      <c r="Y367" s="699"/>
    </row>
    <row r="368" spans="12:25" x14ac:dyDescent="0.2">
      <c r="L368" s="700"/>
      <c r="M368" s="700"/>
      <c r="N368" s="700"/>
      <c r="O368" s="700"/>
      <c r="P368" s="700"/>
      <c r="Q368" s="700"/>
      <c r="R368" s="700"/>
      <c r="S368" s="700"/>
      <c r="T368" s="700"/>
      <c r="U368" s="700"/>
      <c r="V368" s="700"/>
      <c r="W368" s="700"/>
      <c r="X368" s="700"/>
      <c r="Y368" s="699"/>
    </row>
    <row r="369" spans="12:25" x14ac:dyDescent="0.2">
      <c r="L369" s="700"/>
      <c r="M369" s="700"/>
      <c r="N369" s="700"/>
      <c r="O369" s="700"/>
      <c r="P369" s="700"/>
      <c r="Q369" s="700"/>
      <c r="R369" s="700"/>
      <c r="S369" s="700"/>
      <c r="T369" s="700"/>
      <c r="U369" s="700"/>
      <c r="V369" s="700"/>
      <c r="W369" s="700"/>
      <c r="X369" s="700"/>
      <c r="Y369" s="699"/>
    </row>
    <row r="370" spans="12:25" x14ac:dyDescent="0.2">
      <c r="L370" s="700"/>
      <c r="M370" s="700"/>
      <c r="N370" s="700"/>
      <c r="O370" s="700"/>
      <c r="P370" s="700"/>
      <c r="Q370" s="700"/>
      <c r="R370" s="700"/>
      <c r="S370" s="700"/>
      <c r="T370" s="700"/>
      <c r="U370" s="700"/>
      <c r="V370" s="700"/>
      <c r="W370" s="700"/>
      <c r="X370" s="700"/>
      <c r="Y370" s="699"/>
    </row>
    <row r="371" spans="12:25" x14ac:dyDescent="0.2">
      <c r="L371" s="700"/>
      <c r="M371" s="700"/>
      <c r="N371" s="700"/>
      <c r="O371" s="700"/>
      <c r="P371" s="700"/>
      <c r="Q371" s="700"/>
      <c r="R371" s="700"/>
      <c r="S371" s="700"/>
      <c r="T371" s="700"/>
      <c r="U371" s="700"/>
      <c r="V371" s="700"/>
      <c r="W371" s="700"/>
      <c r="X371" s="700"/>
      <c r="Y371" s="699"/>
    </row>
    <row r="372" spans="12:25" x14ac:dyDescent="0.2">
      <c r="L372" s="700"/>
      <c r="M372" s="700"/>
      <c r="N372" s="700"/>
      <c r="O372" s="700"/>
      <c r="P372" s="700"/>
      <c r="Q372" s="700"/>
      <c r="R372" s="700"/>
      <c r="S372" s="700"/>
      <c r="T372" s="700"/>
      <c r="U372" s="700"/>
      <c r="V372" s="700"/>
      <c r="W372" s="700"/>
      <c r="X372" s="700"/>
      <c r="Y372" s="699"/>
    </row>
    <row r="373" spans="12:25" x14ac:dyDescent="0.2">
      <c r="L373" s="700"/>
      <c r="M373" s="700"/>
      <c r="N373" s="700"/>
      <c r="O373" s="700"/>
      <c r="P373" s="700"/>
      <c r="Q373" s="700"/>
      <c r="R373" s="700"/>
      <c r="S373" s="700"/>
      <c r="T373" s="700"/>
      <c r="U373" s="700"/>
      <c r="V373" s="700"/>
      <c r="W373" s="700"/>
      <c r="X373" s="700"/>
      <c r="Y373" s="699"/>
    </row>
    <row r="374" spans="12:25" x14ac:dyDescent="0.2">
      <c r="L374" s="700"/>
      <c r="M374" s="700"/>
      <c r="N374" s="700"/>
      <c r="O374" s="700"/>
      <c r="P374" s="700"/>
      <c r="Q374" s="700"/>
      <c r="R374" s="700"/>
      <c r="S374" s="700"/>
      <c r="T374" s="700"/>
      <c r="U374" s="700"/>
      <c r="V374" s="700"/>
      <c r="W374" s="700"/>
      <c r="X374" s="700"/>
      <c r="Y374" s="699"/>
    </row>
    <row r="375" spans="12:25" x14ac:dyDescent="0.2">
      <c r="L375" s="700"/>
      <c r="M375" s="700"/>
      <c r="N375" s="700"/>
      <c r="O375" s="700"/>
      <c r="P375" s="700"/>
      <c r="Q375" s="700"/>
      <c r="R375" s="700"/>
      <c r="S375" s="700"/>
      <c r="T375" s="700"/>
      <c r="U375" s="700"/>
      <c r="V375" s="700"/>
      <c r="W375" s="700"/>
      <c r="X375" s="700"/>
      <c r="Y375" s="699"/>
    </row>
    <row r="376" spans="12:25" x14ac:dyDescent="0.2">
      <c r="L376" s="700"/>
      <c r="M376" s="700"/>
      <c r="N376" s="700"/>
      <c r="O376" s="700"/>
      <c r="P376" s="700"/>
      <c r="Q376" s="700"/>
      <c r="R376" s="700"/>
      <c r="S376" s="700"/>
      <c r="T376" s="700"/>
      <c r="U376" s="700"/>
      <c r="V376" s="700"/>
      <c r="W376" s="700"/>
      <c r="X376" s="700"/>
      <c r="Y376" s="699"/>
    </row>
    <row r="377" spans="12:25" x14ac:dyDescent="0.2">
      <c r="L377" s="700"/>
      <c r="M377" s="700"/>
      <c r="N377" s="700"/>
      <c r="O377" s="700"/>
      <c r="P377" s="700"/>
      <c r="Q377" s="700"/>
      <c r="R377" s="700"/>
      <c r="S377" s="700"/>
      <c r="T377" s="700"/>
      <c r="U377" s="700"/>
      <c r="V377" s="700"/>
      <c r="W377" s="700"/>
      <c r="X377" s="700"/>
      <c r="Y377" s="699"/>
    </row>
    <row r="378" spans="12:25" x14ac:dyDescent="0.2">
      <c r="L378" s="700"/>
      <c r="M378" s="700"/>
      <c r="N378" s="700"/>
      <c r="O378" s="700"/>
      <c r="P378" s="700"/>
      <c r="Q378" s="700"/>
      <c r="R378" s="700"/>
      <c r="S378" s="700"/>
      <c r="T378" s="700"/>
      <c r="U378" s="700"/>
      <c r="V378" s="700"/>
      <c r="W378" s="700"/>
      <c r="X378" s="700"/>
      <c r="Y378" s="699"/>
    </row>
    <row r="379" spans="12:25" x14ac:dyDescent="0.2">
      <c r="L379" s="700"/>
      <c r="M379" s="700"/>
      <c r="N379" s="700"/>
      <c r="O379" s="700"/>
      <c r="P379" s="700"/>
      <c r="Q379" s="700"/>
      <c r="R379" s="700"/>
      <c r="S379" s="700"/>
      <c r="T379" s="700"/>
      <c r="U379" s="700"/>
      <c r="V379" s="700"/>
      <c r="W379" s="700"/>
      <c r="X379" s="700"/>
      <c r="Y379" s="699"/>
    </row>
    <row r="380" spans="12:25" x14ac:dyDescent="0.2">
      <c r="L380" s="700"/>
      <c r="M380" s="700"/>
      <c r="N380" s="700"/>
      <c r="O380" s="700"/>
      <c r="P380" s="700"/>
      <c r="Q380" s="700"/>
      <c r="R380" s="700"/>
      <c r="S380" s="700"/>
      <c r="T380" s="700"/>
      <c r="U380" s="700"/>
      <c r="V380" s="700"/>
      <c r="W380" s="700"/>
      <c r="X380" s="700"/>
      <c r="Y380" s="699"/>
    </row>
    <row r="381" spans="12:25" x14ac:dyDescent="0.2">
      <c r="L381" s="700"/>
      <c r="M381" s="700"/>
      <c r="N381" s="700"/>
      <c r="O381" s="700"/>
      <c r="P381" s="700"/>
      <c r="Q381" s="700"/>
      <c r="R381" s="700"/>
      <c r="S381" s="700"/>
      <c r="T381" s="700"/>
      <c r="U381" s="700"/>
      <c r="V381" s="700"/>
      <c r="W381" s="700"/>
      <c r="X381" s="700"/>
      <c r="Y381" s="699"/>
    </row>
    <row r="382" spans="12:25" x14ac:dyDescent="0.2">
      <c r="L382" s="700"/>
      <c r="M382" s="700"/>
      <c r="N382" s="700"/>
      <c r="O382" s="700"/>
      <c r="P382" s="700"/>
      <c r="Q382" s="700"/>
      <c r="R382" s="700"/>
      <c r="S382" s="700"/>
      <c r="T382" s="700"/>
      <c r="U382" s="700"/>
      <c r="V382" s="700"/>
      <c r="W382" s="700"/>
      <c r="X382" s="700"/>
      <c r="Y382" s="699"/>
    </row>
    <row r="383" spans="12:25" x14ac:dyDescent="0.2">
      <c r="L383" s="700"/>
      <c r="M383" s="700"/>
      <c r="N383" s="700"/>
      <c r="O383" s="700"/>
      <c r="P383" s="700"/>
      <c r="Q383" s="700"/>
      <c r="R383" s="700"/>
      <c r="S383" s="700"/>
      <c r="T383" s="700"/>
      <c r="U383" s="700"/>
      <c r="V383" s="700"/>
      <c r="W383" s="700"/>
      <c r="X383" s="700"/>
      <c r="Y383" s="699"/>
    </row>
    <row r="384" spans="12:25" x14ac:dyDescent="0.2">
      <c r="L384" s="700"/>
      <c r="M384" s="700"/>
      <c r="N384" s="700"/>
      <c r="O384" s="700"/>
      <c r="P384" s="700"/>
      <c r="Q384" s="700"/>
      <c r="R384" s="700"/>
      <c r="S384" s="700"/>
      <c r="T384" s="700"/>
      <c r="U384" s="700"/>
      <c r="V384" s="700"/>
      <c r="W384" s="700"/>
      <c r="X384" s="700"/>
      <c r="Y384" s="699"/>
    </row>
    <row r="385" spans="12:25" x14ac:dyDescent="0.2">
      <c r="L385" s="700"/>
      <c r="M385" s="700"/>
      <c r="N385" s="700"/>
      <c r="O385" s="700"/>
      <c r="P385" s="700"/>
      <c r="Q385" s="700"/>
      <c r="R385" s="700"/>
      <c r="S385" s="700"/>
      <c r="T385" s="700"/>
      <c r="U385" s="700"/>
      <c r="V385" s="700"/>
      <c r="W385" s="700"/>
      <c r="X385" s="700"/>
      <c r="Y385" s="699"/>
    </row>
    <row r="386" spans="12:25" x14ac:dyDescent="0.2">
      <c r="L386" s="700"/>
      <c r="M386" s="700"/>
      <c r="N386" s="700"/>
      <c r="O386" s="700"/>
      <c r="P386" s="700"/>
      <c r="Q386" s="700"/>
      <c r="R386" s="700"/>
      <c r="S386" s="700"/>
      <c r="T386" s="700"/>
      <c r="U386" s="700"/>
      <c r="V386" s="700"/>
      <c r="W386" s="700"/>
      <c r="X386" s="700"/>
      <c r="Y386" s="699"/>
    </row>
    <row r="387" spans="12:25" x14ac:dyDescent="0.2">
      <c r="L387" s="700"/>
      <c r="M387" s="700"/>
      <c r="N387" s="700"/>
      <c r="O387" s="700"/>
      <c r="P387" s="700"/>
      <c r="Q387" s="700"/>
      <c r="R387" s="700"/>
      <c r="S387" s="700"/>
      <c r="T387" s="700"/>
      <c r="U387" s="700"/>
      <c r="V387" s="700"/>
      <c r="W387" s="700"/>
      <c r="X387" s="700"/>
      <c r="Y387" s="699"/>
    </row>
    <row r="388" spans="12:25" x14ac:dyDescent="0.2">
      <c r="L388" s="700"/>
      <c r="M388" s="700"/>
      <c r="N388" s="700"/>
      <c r="O388" s="700"/>
      <c r="P388" s="700"/>
      <c r="Q388" s="700"/>
      <c r="R388" s="700"/>
      <c r="S388" s="700"/>
      <c r="T388" s="700"/>
      <c r="U388" s="700"/>
      <c r="V388" s="700"/>
      <c r="W388" s="700"/>
      <c r="X388" s="700"/>
      <c r="Y388" s="699"/>
    </row>
    <row r="389" spans="12:25" x14ac:dyDescent="0.2">
      <c r="L389" s="700"/>
      <c r="M389" s="700"/>
      <c r="N389" s="700"/>
      <c r="O389" s="700"/>
      <c r="P389" s="700"/>
      <c r="Q389" s="700"/>
      <c r="R389" s="700"/>
      <c r="S389" s="700"/>
      <c r="T389" s="700"/>
      <c r="U389" s="700"/>
      <c r="V389" s="700"/>
      <c r="W389" s="700"/>
      <c r="X389" s="700"/>
      <c r="Y389" s="699"/>
    </row>
    <row r="390" spans="12:25" x14ac:dyDescent="0.2">
      <c r="L390" s="700"/>
      <c r="M390" s="700"/>
      <c r="N390" s="700"/>
      <c r="O390" s="700"/>
      <c r="P390" s="700"/>
      <c r="Q390" s="700"/>
      <c r="R390" s="700"/>
      <c r="S390" s="700"/>
      <c r="T390" s="700"/>
      <c r="U390" s="700"/>
      <c r="V390" s="700"/>
      <c r="W390" s="700"/>
      <c r="X390" s="700"/>
      <c r="Y390" s="699"/>
    </row>
    <row r="391" spans="12:25" x14ac:dyDescent="0.2">
      <c r="L391" s="700"/>
      <c r="M391" s="700"/>
      <c r="N391" s="700"/>
      <c r="O391" s="700"/>
      <c r="P391" s="700"/>
      <c r="Q391" s="700"/>
      <c r="R391" s="700"/>
      <c r="S391" s="700"/>
      <c r="T391" s="700"/>
      <c r="U391" s="700"/>
      <c r="V391" s="700"/>
      <c r="W391" s="700"/>
      <c r="X391" s="700"/>
      <c r="Y391" s="699"/>
    </row>
    <row r="392" spans="12:25" x14ac:dyDescent="0.2">
      <c r="L392" s="700"/>
      <c r="M392" s="700"/>
      <c r="N392" s="700"/>
      <c r="O392" s="700"/>
      <c r="P392" s="700"/>
      <c r="Q392" s="700"/>
      <c r="R392" s="700"/>
      <c r="S392" s="700"/>
      <c r="T392" s="700"/>
      <c r="U392" s="700"/>
      <c r="V392" s="700"/>
      <c r="W392" s="700"/>
      <c r="X392" s="700"/>
      <c r="Y392" s="699"/>
    </row>
    <row r="393" spans="12:25" x14ac:dyDescent="0.2">
      <c r="L393" s="700"/>
      <c r="M393" s="700"/>
      <c r="N393" s="700"/>
      <c r="O393" s="700"/>
      <c r="P393" s="700"/>
      <c r="Q393" s="700"/>
      <c r="R393" s="700"/>
      <c r="S393" s="700"/>
      <c r="T393" s="700"/>
      <c r="U393" s="700"/>
      <c r="V393" s="700"/>
      <c r="W393" s="700"/>
      <c r="X393" s="700"/>
      <c r="Y393" s="699"/>
    </row>
    <row r="394" spans="12:25" x14ac:dyDescent="0.2">
      <c r="L394" s="700"/>
      <c r="M394" s="700"/>
      <c r="N394" s="700"/>
      <c r="O394" s="700"/>
      <c r="P394" s="700"/>
      <c r="Q394" s="700"/>
      <c r="R394" s="700"/>
      <c r="S394" s="700"/>
      <c r="T394" s="700"/>
      <c r="U394" s="700"/>
      <c r="V394" s="700"/>
      <c r="W394" s="700"/>
      <c r="X394" s="700"/>
      <c r="Y394" s="699"/>
    </row>
    <row r="395" spans="12:25" x14ac:dyDescent="0.2">
      <c r="L395" s="700"/>
      <c r="M395" s="700"/>
      <c r="N395" s="700"/>
      <c r="O395" s="700"/>
      <c r="P395" s="700"/>
      <c r="Q395" s="700"/>
      <c r="R395" s="700"/>
      <c r="S395" s="700"/>
      <c r="T395" s="700"/>
      <c r="U395" s="700"/>
      <c r="V395" s="700"/>
      <c r="W395" s="700"/>
      <c r="X395" s="700"/>
      <c r="Y395" s="699"/>
    </row>
    <row r="396" spans="12:25" x14ac:dyDescent="0.2">
      <c r="L396" s="700"/>
      <c r="M396" s="700"/>
      <c r="N396" s="700"/>
      <c r="O396" s="700"/>
      <c r="P396" s="700"/>
      <c r="Q396" s="700"/>
      <c r="R396" s="700"/>
      <c r="S396" s="700"/>
      <c r="T396" s="700"/>
      <c r="U396" s="700"/>
      <c r="V396" s="700"/>
      <c r="W396" s="700"/>
      <c r="X396" s="700"/>
      <c r="Y396" s="699"/>
    </row>
    <row r="397" spans="12:25" x14ac:dyDescent="0.2">
      <c r="L397" s="700"/>
      <c r="M397" s="700"/>
      <c r="N397" s="700"/>
      <c r="O397" s="700"/>
      <c r="P397" s="700"/>
      <c r="Q397" s="700"/>
      <c r="R397" s="700"/>
      <c r="S397" s="700"/>
      <c r="T397" s="700"/>
      <c r="U397" s="700"/>
      <c r="V397" s="700"/>
      <c r="W397" s="700"/>
      <c r="X397" s="700"/>
      <c r="Y397" s="699"/>
    </row>
    <row r="398" spans="12:25" x14ac:dyDescent="0.2">
      <c r="L398" s="700"/>
      <c r="M398" s="700"/>
      <c r="N398" s="700"/>
      <c r="O398" s="700"/>
      <c r="P398" s="700"/>
      <c r="Q398" s="700"/>
      <c r="R398" s="700"/>
      <c r="S398" s="700"/>
      <c r="T398" s="700"/>
      <c r="U398" s="700"/>
      <c r="V398" s="700"/>
      <c r="W398" s="700"/>
      <c r="X398" s="700"/>
      <c r="Y398" s="699"/>
    </row>
    <row r="399" spans="12:25" x14ac:dyDescent="0.2">
      <c r="L399" s="700"/>
      <c r="M399" s="700"/>
      <c r="N399" s="700"/>
      <c r="O399" s="700"/>
      <c r="P399" s="700"/>
      <c r="Q399" s="700"/>
      <c r="R399" s="700"/>
      <c r="S399" s="700"/>
      <c r="T399" s="700"/>
      <c r="U399" s="700"/>
      <c r="V399" s="700"/>
      <c r="W399" s="700"/>
      <c r="X399" s="700"/>
      <c r="Y399" s="699"/>
    </row>
    <row r="400" spans="12:25" x14ac:dyDescent="0.2">
      <c r="L400" s="700"/>
      <c r="M400" s="700"/>
      <c r="N400" s="700"/>
      <c r="O400" s="700"/>
      <c r="P400" s="700"/>
      <c r="Q400" s="700"/>
      <c r="R400" s="700"/>
      <c r="S400" s="700"/>
      <c r="T400" s="700"/>
      <c r="U400" s="700"/>
      <c r="V400" s="700"/>
      <c r="W400" s="700"/>
      <c r="X400" s="700"/>
      <c r="Y400" s="699"/>
    </row>
    <row r="401" spans="12:25" x14ac:dyDescent="0.2">
      <c r="L401" s="700"/>
      <c r="M401" s="700"/>
      <c r="N401" s="700"/>
      <c r="O401" s="700"/>
      <c r="P401" s="700"/>
      <c r="Q401" s="700"/>
      <c r="R401" s="700"/>
      <c r="S401" s="700"/>
      <c r="T401" s="700"/>
      <c r="U401" s="700"/>
      <c r="V401" s="700"/>
      <c r="W401" s="700"/>
      <c r="X401" s="700"/>
      <c r="Y401" s="699"/>
    </row>
    <row r="402" spans="12:25" x14ac:dyDescent="0.2">
      <c r="L402" s="699"/>
      <c r="M402" s="699"/>
      <c r="N402" s="699"/>
      <c r="O402" s="699"/>
      <c r="P402" s="699"/>
      <c r="Q402" s="699"/>
      <c r="R402" s="699"/>
      <c r="S402" s="699"/>
      <c r="T402" s="699"/>
      <c r="U402" s="699"/>
      <c r="V402" s="699"/>
      <c r="W402" s="699"/>
      <c r="X402" s="699"/>
      <c r="Y402" s="699"/>
    </row>
    <row r="403" spans="12:25" x14ac:dyDescent="0.2">
      <c r="L403" s="699"/>
      <c r="M403" s="699"/>
      <c r="N403" s="699"/>
      <c r="O403" s="699"/>
      <c r="P403" s="699"/>
      <c r="Q403" s="699"/>
      <c r="R403" s="699"/>
      <c r="S403" s="699"/>
      <c r="T403" s="699"/>
      <c r="U403" s="699"/>
      <c r="V403" s="699"/>
      <c r="W403" s="699"/>
      <c r="X403" s="699"/>
      <c r="Y403" s="699"/>
    </row>
    <row r="404" spans="12:25" x14ac:dyDescent="0.2">
      <c r="L404" s="699"/>
      <c r="M404" s="699"/>
      <c r="N404" s="699"/>
      <c r="O404" s="699"/>
      <c r="P404" s="699"/>
      <c r="Q404" s="699"/>
      <c r="R404" s="699"/>
      <c r="S404" s="699"/>
      <c r="T404" s="699"/>
      <c r="U404" s="699"/>
      <c r="V404" s="699"/>
      <c r="W404" s="699"/>
      <c r="X404" s="699"/>
      <c r="Y404" s="699"/>
    </row>
    <row r="405" spans="12:25" x14ac:dyDescent="0.2">
      <c r="L405" s="699"/>
      <c r="M405" s="699"/>
      <c r="N405" s="699"/>
      <c r="O405" s="699"/>
      <c r="P405" s="699"/>
      <c r="Q405" s="699"/>
      <c r="R405" s="699"/>
      <c r="S405" s="699"/>
      <c r="T405" s="699"/>
      <c r="U405" s="699"/>
      <c r="V405" s="699"/>
      <c r="W405" s="699"/>
      <c r="X405" s="699"/>
      <c r="Y405" s="699"/>
    </row>
    <row r="406" spans="12:25" x14ac:dyDescent="0.2">
      <c r="L406" s="699"/>
      <c r="M406" s="699"/>
      <c r="N406" s="699"/>
      <c r="O406" s="699"/>
      <c r="P406" s="699"/>
      <c r="Q406" s="699"/>
      <c r="R406" s="699"/>
      <c r="S406" s="699"/>
      <c r="T406" s="699"/>
      <c r="U406" s="699"/>
      <c r="V406" s="699"/>
      <c r="W406" s="699"/>
      <c r="X406" s="699"/>
      <c r="Y406" s="699"/>
    </row>
    <row r="407" spans="12:25" x14ac:dyDescent="0.2">
      <c r="L407" s="699"/>
      <c r="M407" s="699"/>
      <c r="N407" s="699"/>
      <c r="O407" s="699"/>
      <c r="P407" s="699"/>
      <c r="Q407" s="699"/>
      <c r="R407" s="699"/>
      <c r="S407" s="699"/>
      <c r="T407" s="699"/>
      <c r="U407" s="699"/>
      <c r="V407" s="699"/>
      <c r="W407" s="699"/>
      <c r="X407" s="699"/>
      <c r="Y407" s="699"/>
    </row>
    <row r="408" spans="12:25" x14ac:dyDescent="0.2">
      <c r="L408" s="699"/>
      <c r="M408" s="699"/>
      <c r="N408" s="699"/>
      <c r="O408" s="699"/>
      <c r="P408" s="699"/>
      <c r="Q408" s="699"/>
      <c r="R408" s="699"/>
      <c r="S408" s="699"/>
      <c r="T408" s="699"/>
      <c r="U408" s="699"/>
      <c r="V408" s="699"/>
      <c r="W408" s="699"/>
      <c r="X408" s="699"/>
      <c r="Y408" s="699"/>
    </row>
    <row r="409" spans="12:25" x14ac:dyDescent="0.2">
      <c r="L409" s="699"/>
      <c r="M409" s="699"/>
      <c r="N409" s="699"/>
      <c r="O409" s="699"/>
      <c r="P409" s="699"/>
      <c r="Q409" s="699"/>
      <c r="R409" s="699"/>
      <c r="S409" s="699"/>
      <c r="T409" s="699"/>
      <c r="U409" s="699"/>
      <c r="V409" s="699"/>
      <c r="W409" s="699"/>
      <c r="X409" s="699"/>
      <c r="Y409" s="699"/>
    </row>
    <row r="410" spans="12:25" x14ac:dyDescent="0.2">
      <c r="L410" s="699"/>
      <c r="M410" s="699"/>
      <c r="N410" s="699"/>
      <c r="O410" s="699"/>
      <c r="P410" s="699"/>
      <c r="Q410" s="699"/>
      <c r="R410" s="699"/>
      <c r="S410" s="699"/>
      <c r="T410" s="699"/>
      <c r="U410" s="699"/>
      <c r="V410" s="699"/>
      <c r="W410" s="699"/>
      <c r="X410" s="699"/>
      <c r="Y410" s="699"/>
    </row>
    <row r="411" spans="12:25" x14ac:dyDescent="0.2">
      <c r="L411" s="699"/>
      <c r="M411" s="699"/>
      <c r="N411" s="699"/>
      <c r="O411" s="699"/>
      <c r="P411" s="699"/>
      <c r="Q411" s="699"/>
      <c r="R411" s="699"/>
      <c r="S411" s="699"/>
      <c r="T411" s="699"/>
      <c r="U411" s="699"/>
      <c r="V411" s="699"/>
      <c r="W411" s="699"/>
      <c r="X411" s="699"/>
      <c r="Y411" s="699"/>
    </row>
    <row r="412" spans="12:25" x14ac:dyDescent="0.2">
      <c r="L412" s="699"/>
      <c r="M412" s="699"/>
      <c r="N412" s="699"/>
      <c r="O412" s="699"/>
      <c r="P412" s="699"/>
      <c r="Q412" s="699"/>
      <c r="R412" s="699"/>
      <c r="S412" s="699"/>
      <c r="T412" s="699"/>
      <c r="U412" s="699"/>
      <c r="V412" s="699"/>
      <c r="W412" s="699"/>
      <c r="X412" s="699"/>
      <c r="Y412" s="699"/>
    </row>
    <row r="413" spans="12:25" x14ac:dyDescent="0.2">
      <c r="L413" s="699"/>
      <c r="M413" s="699"/>
      <c r="N413" s="699"/>
      <c r="O413" s="699"/>
      <c r="P413" s="699"/>
      <c r="Q413" s="699"/>
      <c r="R413" s="699"/>
      <c r="S413" s="699"/>
      <c r="T413" s="699"/>
      <c r="U413" s="699"/>
      <c r="V413" s="699"/>
      <c r="W413" s="699"/>
      <c r="X413" s="699"/>
      <c r="Y413" s="699"/>
    </row>
    <row r="414" spans="12:25" x14ac:dyDescent="0.2">
      <c r="L414" s="699"/>
      <c r="M414" s="699"/>
      <c r="N414" s="699"/>
      <c r="O414" s="699"/>
      <c r="P414" s="699"/>
      <c r="Q414" s="699"/>
      <c r="R414" s="699"/>
      <c r="S414" s="699"/>
      <c r="T414" s="699"/>
      <c r="U414" s="699"/>
      <c r="V414" s="699"/>
      <c r="W414" s="699"/>
      <c r="X414" s="699"/>
      <c r="Y414" s="699"/>
    </row>
    <row r="415" spans="12:25" x14ac:dyDescent="0.2">
      <c r="L415" s="699"/>
      <c r="M415" s="699"/>
      <c r="N415" s="699"/>
      <c r="O415" s="699"/>
      <c r="P415" s="699"/>
      <c r="Q415" s="699"/>
      <c r="R415" s="699"/>
      <c r="S415" s="699"/>
      <c r="T415" s="699"/>
      <c r="U415" s="699"/>
      <c r="V415" s="699"/>
      <c r="W415" s="699"/>
      <c r="X415" s="699"/>
      <c r="Y415" s="699"/>
    </row>
    <row r="416" spans="12:25" x14ac:dyDescent="0.2">
      <c r="L416" s="699"/>
      <c r="M416" s="699"/>
      <c r="N416" s="699"/>
      <c r="O416" s="699"/>
      <c r="P416" s="699"/>
      <c r="Q416" s="699"/>
      <c r="R416" s="699"/>
      <c r="S416" s="699"/>
      <c r="T416" s="699"/>
      <c r="U416" s="699"/>
      <c r="V416" s="699"/>
      <c r="W416" s="699"/>
      <c r="X416" s="699"/>
      <c r="Y416" s="699"/>
    </row>
    <row r="417" spans="12:25" x14ac:dyDescent="0.2">
      <c r="L417" s="699"/>
      <c r="M417" s="699"/>
      <c r="N417" s="699"/>
      <c r="O417" s="699"/>
      <c r="P417" s="699"/>
      <c r="Q417" s="699"/>
      <c r="R417" s="699"/>
      <c r="S417" s="699"/>
      <c r="T417" s="699"/>
      <c r="U417" s="699"/>
      <c r="V417" s="699"/>
      <c r="W417" s="699"/>
      <c r="X417" s="699"/>
      <c r="Y417" s="699"/>
    </row>
    <row r="418" spans="12:25" x14ac:dyDescent="0.2">
      <c r="L418" s="699"/>
      <c r="M418" s="699"/>
      <c r="N418" s="699"/>
      <c r="O418" s="699"/>
      <c r="P418" s="699"/>
      <c r="Q418" s="699"/>
      <c r="R418" s="699"/>
      <c r="S418" s="699"/>
      <c r="T418" s="699"/>
      <c r="U418" s="699"/>
      <c r="V418" s="699"/>
      <c r="W418" s="699"/>
      <c r="X418" s="699"/>
      <c r="Y418" s="699"/>
    </row>
    <row r="419" spans="12:25" x14ac:dyDescent="0.2">
      <c r="L419" s="699"/>
      <c r="M419" s="699"/>
      <c r="N419" s="699"/>
      <c r="O419" s="699"/>
      <c r="P419" s="699"/>
      <c r="Q419" s="699"/>
      <c r="R419" s="699"/>
      <c r="S419" s="699"/>
      <c r="T419" s="699"/>
      <c r="U419" s="699"/>
      <c r="V419" s="699"/>
      <c r="W419" s="699"/>
      <c r="X419" s="699"/>
      <c r="Y419" s="699"/>
    </row>
    <row r="420" spans="12:25" x14ac:dyDescent="0.2">
      <c r="L420" s="699"/>
      <c r="M420" s="699"/>
      <c r="N420" s="699"/>
      <c r="O420" s="699"/>
      <c r="P420" s="699"/>
      <c r="Q420" s="699"/>
      <c r="R420" s="699"/>
      <c r="S420" s="699"/>
      <c r="T420" s="699"/>
      <c r="U420" s="699"/>
      <c r="V420" s="699"/>
      <c r="W420" s="699"/>
      <c r="X420" s="699"/>
      <c r="Y420" s="699"/>
    </row>
    <row r="421" spans="12:25" x14ac:dyDescent="0.2">
      <c r="L421" s="699"/>
      <c r="M421" s="699"/>
      <c r="N421" s="699"/>
      <c r="O421" s="699"/>
      <c r="P421" s="699"/>
      <c r="Q421" s="699"/>
      <c r="R421" s="699"/>
      <c r="S421" s="699"/>
      <c r="T421" s="699"/>
      <c r="U421" s="699"/>
      <c r="V421" s="699"/>
      <c r="W421" s="699"/>
      <c r="X421" s="699"/>
      <c r="Y421" s="699"/>
    </row>
    <row r="422" spans="12:25" x14ac:dyDescent="0.2">
      <c r="L422" s="699"/>
      <c r="M422" s="699"/>
      <c r="N422" s="699"/>
      <c r="O422" s="699"/>
      <c r="P422" s="699"/>
      <c r="Q422" s="699"/>
      <c r="R422" s="699"/>
      <c r="S422" s="699"/>
      <c r="T422" s="699"/>
      <c r="U422" s="699"/>
      <c r="V422" s="699"/>
      <c r="W422" s="699"/>
      <c r="X422" s="699"/>
      <c r="Y422" s="699"/>
    </row>
    <row r="423" spans="12:25" x14ac:dyDescent="0.2">
      <c r="L423" s="699"/>
      <c r="M423" s="699"/>
      <c r="N423" s="699"/>
      <c r="O423" s="699"/>
      <c r="P423" s="699"/>
      <c r="Q423" s="699"/>
      <c r="R423" s="699"/>
      <c r="S423" s="699"/>
      <c r="T423" s="699"/>
      <c r="U423" s="699"/>
      <c r="V423" s="699"/>
      <c r="W423" s="699"/>
      <c r="X423" s="699"/>
      <c r="Y423" s="699"/>
    </row>
    <row r="424" spans="12:25" x14ac:dyDescent="0.2">
      <c r="L424" s="699"/>
      <c r="M424" s="699"/>
      <c r="N424" s="699"/>
      <c r="O424" s="699"/>
      <c r="P424" s="699"/>
      <c r="Q424" s="699"/>
      <c r="R424" s="699"/>
      <c r="S424" s="699"/>
      <c r="T424" s="699"/>
      <c r="U424" s="699"/>
      <c r="V424" s="699"/>
      <c r="W424" s="699"/>
      <c r="X424" s="699"/>
      <c r="Y424" s="699"/>
    </row>
    <row r="425" spans="12:25" x14ac:dyDescent="0.2">
      <c r="L425" s="699"/>
      <c r="M425" s="699"/>
      <c r="N425" s="699"/>
      <c r="O425" s="699"/>
      <c r="P425" s="699"/>
      <c r="Q425" s="699"/>
      <c r="R425" s="699"/>
      <c r="S425" s="699"/>
      <c r="T425" s="699"/>
      <c r="U425" s="699"/>
      <c r="V425" s="699"/>
      <c r="W425" s="699"/>
      <c r="X425" s="699"/>
      <c r="Y425" s="699"/>
    </row>
    <row r="426" spans="12:25" x14ac:dyDescent="0.2">
      <c r="L426" s="699"/>
      <c r="M426" s="699"/>
      <c r="N426" s="699"/>
      <c r="O426" s="699"/>
      <c r="P426" s="699"/>
      <c r="Q426" s="699"/>
      <c r="R426" s="699"/>
      <c r="S426" s="699"/>
      <c r="T426" s="699"/>
      <c r="U426" s="699"/>
      <c r="V426" s="699"/>
      <c r="W426" s="699"/>
      <c r="X426" s="699"/>
      <c r="Y426" s="699"/>
    </row>
    <row r="427" spans="12:25" x14ac:dyDescent="0.2">
      <c r="L427" s="699"/>
      <c r="M427" s="699"/>
      <c r="N427" s="699"/>
      <c r="O427" s="699"/>
      <c r="P427" s="699"/>
      <c r="Q427" s="699"/>
      <c r="R427" s="699"/>
      <c r="S427" s="699"/>
      <c r="T427" s="699"/>
      <c r="U427" s="699"/>
      <c r="V427" s="699"/>
      <c r="W427" s="699"/>
      <c r="X427" s="699"/>
      <c r="Y427" s="699"/>
    </row>
    <row r="428" spans="12:25" x14ac:dyDescent="0.2">
      <c r="L428" s="699"/>
      <c r="M428" s="699"/>
      <c r="N428" s="699"/>
      <c r="O428" s="699"/>
      <c r="P428" s="699"/>
      <c r="Q428" s="699"/>
      <c r="R428" s="699"/>
      <c r="S428" s="699"/>
      <c r="T428" s="699"/>
      <c r="U428" s="699"/>
      <c r="V428" s="699"/>
      <c r="W428" s="699"/>
      <c r="X428" s="699"/>
      <c r="Y428" s="699"/>
    </row>
    <row r="429" spans="12:25" x14ac:dyDescent="0.2">
      <c r="L429" s="699"/>
      <c r="M429" s="699"/>
      <c r="N429" s="699"/>
      <c r="O429" s="699"/>
      <c r="P429" s="699"/>
      <c r="Q429" s="699"/>
      <c r="R429" s="699"/>
      <c r="S429" s="699"/>
      <c r="T429" s="699"/>
      <c r="U429" s="699"/>
      <c r="V429" s="699"/>
      <c r="W429" s="699"/>
      <c r="X429" s="699"/>
      <c r="Y429" s="699"/>
    </row>
    <row r="430" spans="12:25" x14ac:dyDescent="0.2">
      <c r="L430" s="699"/>
      <c r="M430" s="699"/>
      <c r="N430" s="699"/>
      <c r="O430" s="699"/>
      <c r="P430" s="699"/>
      <c r="Q430" s="699"/>
      <c r="R430" s="699"/>
      <c r="S430" s="699"/>
      <c r="T430" s="699"/>
      <c r="U430" s="699"/>
      <c r="V430" s="699"/>
      <c r="W430" s="699"/>
      <c r="X430" s="699"/>
      <c r="Y430" s="699"/>
    </row>
    <row r="431" spans="12:25" x14ac:dyDescent="0.2">
      <c r="L431" s="699"/>
      <c r="M431" s="699"/>
      <c r="N431" s="699"/>
      <c r="O431" s="699"/>
      <c r="P431" s="699"/>
      <c r="Q431" s="699"/>
      <c r="R431" s="699"/>
      <c r="S431" s="699"/>
      <c r="T431" s="699"/>
      <c r="U431" s="699"/>
      <c r="V431" s="699"/>
      <c r="W431" s="699"/>
      <c r="X431" s="699"/>
      <c r="Y431" s="699"/>
    </row>
    <row r="432" spans="12:25" x14ac:dyDescent="0.2">
      <c r="L432" s="699"/>
      <c r="M432" s="699"/>
      <c r="N432" s="699"/>
      <c r="O432" s="699"/>
      <c r="P432" s="699"/>
      <c r="Q432" s="699"/>
      <c r="R432" s="699"/>
      <c r="S432" s="699"/>
      <c r="T432" s="699"/>
      <c r="U432" s="699"/>
      <c r="V432" s="699"/>
      <c r="W432" s="699"/>
      <c r="X432" s="699"/>
      <c r="Y432" s="699"/>
    </row>
    <row r="433" spans="12:25" x14ac:dyDescent="0.2">
      <c r="L433" s="699"/>
      <c r="M433" s="699"/>
      <c r="N433" s="699"/>
      <c r="O433" s="699"/>
      <c r="P433" s="699"/>
      <c r="Q433" s="699"/>
      <c r="R433" s="699"/>
      <c r="S433" s="699"/>
      <c r="T433" s="699"/>
      <c r="U433" s="699"/>
      <c r="V433" s="699"/>
      <c r="W433" s="699"/>
      <c r="X433" s="699"/>
      <c r="Y433" s="699"/>
    </row>
    <row r="434" spans="12:25" x14ac:dyDescent="0.2">
      <c r="L434" s="699"/>
      <c r="M434" s="699"/>
      <c r="N434" s="699"/>
      <c r="O434" s="699"/>
      <c r="P434" s="699"/>
      <c r="Q434" s="699"/>
      <c r="R434" s="699"/>
      <c r="S434" s="699"/>
      <c r="T434" s="699"/>
      <c r="U434" s="699"/>
      <c r="V434" s="699"/>
      <c r="W434" s="699"/>
      <c r="X434" s="699"/>
      <c r="Y434" s="699"/>
    </row>
    <row r="435" spans="12:25" x14ac:dyDescent="0.2">
      <c r="L435" s="699"/>
      <c r="M435" s="699"/>
      <c r="N435" s="699"/>
      <c r="O435" s="699"/>
      <c r="P435" s="699"/>
      <c r="Q435" s="699"/>
      <c r="R435" s="699"/>
      <c r="S435" s="699"/>
      <c r="T435" s="699"/>
      <c r="U435" s="699"/>
      <c r="V435" s="699"/>
      <c r="W435" s="699"/>
      <c r="X435" s="699"/>
      <c r="Y435" s="699"/>
    </row>
    <row r="436" spans="12:25" x14ac:dyDescent="0.2">
      <c r="L436" s="699"/>
      <c r="M436" s="699"/>
      <c r="N436" s="699"/>
      <c r="O436" s="699"/>
      <c r="P436" s="699"/>
      <c r="Q436" s="699"/>
      <c r="R436" s="699"/>
      <c r="S436" s="699"/>
      <c r="T436" s="699"/>
      <c r="U436" s="699"/>
      <c r="V436" s="699"/>
      <c r="W436" s="699"/>
      <c r="X436" s="699"/>
      <c r="Y436" s="699"/>
    </row>
    <row r="437" spans="12:25" x14ac:dyDescent="0.2">
      <c r="L437" s="699"/>
      <c r="M437" s="699"/>
      <c r="N437" s="699"/>
      <c r="O437" s="699"/>
      <c r="P437" s="699"/>
      <c r="Q437" s="699"/>
      <c r="R437" s="699"/>
      <c r="S437" s="699"/>
      <c r="T437" s="699"/>
      <c r="U437" s="699"/>
      <c r="V437" s="699"/>
      <c r="W437" s="699"/>
      <c r="X437" s="699"/>
      <c r="Y437" s="699"/>
    </row>
    <row r="438" spans="12:25" x14ac:dyDescent="0.2">
      <c r="L438" s="699"/>
      <c r="M438" s="699"/>
      <c r="N438" s="699"/>
      <c r="O438" s="699"/>
      <c r="P438" s="699"/>
      <c r="Q438" s="699"/>
      <c r="R438" s="699"/>
      <c r="S438" s="699"/>
      <c r="T438" s="699"/>
      <c r="U438" s="699"/>
      <c r="V438" s="699"/>
      <c r="W438" s="699"/>
      <c r="X438" s="699"/>
      <c r="Y438" s="699"/>
    </row>
    <row r="439" spans="12:25" x14ac:dyDescent="0.2">
      <c r="L439" s="699"/>
      <c r="M439" s="699"/>
      <c r="N439" s="699"/>
      <c r="O439" s="699"/>
      <c r="P439" s="699"/>
      <c r="Q439" s="699"/>
      <c r="R439" s="699"/>
      <c r="S439" s="699"/>
      <c r="T439" s="699"/>
      <c r="U439" s="699"/>
      <c r="V439" s="699"/>
      <c r="W439" s="699"/>
      <c r="X439" s="699"/>
      <c r="Y439" s="699"/>
    </row>
    <row r="440" spans="12:25" x14ac:dyDescent="0.2">
      <c r="L440" s="699"/>
      <c r="M440" s="699"/>
      <c r="N440" s="699"/>
      <c r="O440" s="699"/>
      <c r="P440" s="699"/>
      <c r="Q440" s="699"/>
      <c r="R440" s="699"/>
      <c r="S440" s="699"/>
      <c r="T440" s="699"/>
      <c r="U440" s="699"/>
      <c r="V440" s="699"/>
      <c r="W440" s="699"/>
      <c r="X440" s="699"/>
      <c r="Y440" s="699"/>
    </row>
    <row r="441" spans="12:25" x14ac:dyDescent="0.2">
      <c r="L441" s="699"/>
      <c r="M441" s="699"/>
      <c r="N441" s="699"/>
      <c r="O441" s="699"/>
      <c r="P441" s="699"/>
      <c r="Q441" s="699"/>
      <c r="R441" s="699"/>
      <c r="S441" s="699"/>
      <c r="T441" s="699"/>
      <c r="U441" s="699"/>
      <c r="V441" s="699"/>
      <c r="W441" s="699"/>
      <c r="X441" s="699"/>
      <c r="Y441" s="699"/>
    </row>
    <row r="442" spans="12:25" x14ac:dyDescent="0.2">
      <c r="L442" s="699"/>
      <c r="M442" s="699"/>
      <c r="N442" s="699"/>
      <c r="O442" s="699"/>
      <c r="P442" s="699"/>
      <c r="Q442" s="699"/>
      <c r="R442" s="699"/>
      <c r="S442" s="699"/>
      <c r="T442" s="699"/>
      <c r="U442" s="699"/>
      <c r="V442" s="699"/>
      <c r="W442" s="699"/>
      <c r="X442" s="699"/>
      <c r="Y442" s="699"/>
    </row>
    <row r="443" spans="12:25" x14ac:dyDescent="0.2">
      <c r="L443" s="699"/>
      <c r="M443" s="699"/>
      <c r="N443" s="699"/>
      <c r="O443" s="699"/>
      <c r="P443" s="699"/>
      <c r="Q443" s="699"/>
      <c r="R443" s="699"/>
      <c r="S443" s="699"/>
      <c r="T443" s="699"/>
      <c r="U443" s="699"/>
      <c r="V443" s="699"/>
      <c r="W443" s="699"/>
      <c r="X443" s="699"/>
      <c r="Y443" s="699"/>
    </row>
    <row r="444" spans="12:25" x14ac:dyDescent="0.2">
      <c r="L444" s="699"/>
      <c r="M444" s="699"/>
      <c r="N444" s="699"/>
      <c r="O444" s="699"/>
      <c r="P444" s="699"/>
      <c r="Q444" s="699"/>
      <c r="R444" s="699"/>
      <c r="S444" s="699"/>
      <c r="T444" s="699"/>
      <c r="U444" s="699"/>
      <c r="V444" s="699"/>
      <c r="W444" s="699"/>
      <c r="X444" s="699"/>
      <c r="Y444" s="699"/>
    </row>
    <row r="445" spans="12:25" x14ac:dyDescent="0.2">
      <c r="L445" s="699"/>
      <c r="M445" s="699"/>
      <c r="N445" s="699"/>
      <c r="O445" s="699"/>
      <c r="P445" s="699"/>
      <c r="Q445" s="699"/>
      <c r="R445" s="699"/>
      <c r="S445" s="699"/>
      <c r="T445" s="699"/>
      <c r="U445" s="699"/>
      <c r="V445" s="699"/>
      <c r="W445" s="699"/>
      <c r="X445" s="699"/>
      <c r="Y445" s="699"/>
    </row>
    <row r="446" spans="12:25" x14ac:dyDescent="0.2">
      <c r="L446" s="699"/>
      <c r="M446" s="699"/>
      <c r="N446" s="699"/>
      <c r="O446" s="699"/>
      <c r="P446" s="699"/>
      <c r="Q446" s="699"/>
      <c r="R446" s="699"/>
      <c r="S446" s="699"/>
      <c r="T446" s="699"/>
      <c r="U446" s="699"/>
      <c r="V446" s="699"/>
      <c r="W446" s="699"/>
      <c r="X446" s="699"/>
      <c r="Y446" s="699"/>
    </row>
    <row r="447" spans="12:25" x14ac:dyDescent="0.2">
      <c r="L447" s="699"/>
      <c r="M447" s="699"/>
      <c r="N447" s="699"/>
      <c r="O447" s="699"/>
      <c r="P447" s="699"/>
      <c r="Q447" s="699"/>
      <c r="R447" s="699"/>
      <c r="S447" s="699"/>
      <c r="T447" s="699"/>
      <c r="U447" s="699"/>
      <c r="V447" s="699"/>
      <c r="W447" s="699"/>
      <c r="X447" s="699"/>
      <c r="Y447" s="699"/>
    </row>
    <row r="448" spans="12:25" x14ac:dyDescent="0.2">
      <c r="L448" s="699"/>
      <c r="M448" s="699"/>
      <c r="N448" s="699"/>
      <c r="O448" s="699"/>
      <c r="P448" s="699"/>
      <c r="Q448" s="699"/>
      <c r="R448" s="699"/>
      <c r="S448" s="699"/>
      <c r="T448" s="699"/>
      <c r="U448" s="699"/>
      <c r="V448" s="699"/>
      <c r="W448" s="699"/>
      <c r="X448" s="699"/>
      <c r="Y448" s="699"/>
    </row>
    <row r="449" spans="12:25" x14ac:dyDescent="0.2">
      <c r="L449" s="699"/>
      <c r="M449" s="699"/>
      <c r="N449" s="699"/>
      <c r="O449" s="699"/>
      <c r="P449" s="699"/>
      <c r="Q449" s="699"/>
      <c r="R449" s="699"/>
      <c r="S449" s="699"/>
      <c r="T449" s="699"/>
      <c r="U449" s="699"/>
      <c r="V449" s="699"/>
      <c r="W449" s="699"/>
      <c r="X449" s="699"/>
      <c r="Y449" s="699"/>
    </row>
    <row r="450" spans="12:25" x14ac:dyDescent="0.2">
      <c r="L450" s="699"/>
      <c r="M450" s="699"/>
      <c r="N450" s="699"/>
      <c r="O450" s="699"/>
      <c r="P450" s="699"/>
      <c r="Q450" s="699"/>
      <c r="R450" s="699"/>
      <c r="S450" s="699"/>
      <c r="T450" s="699"/>
      <c r="U450" s="699"/>
      <c r="V450" s="699"/>
      <c r="W450" s="699"/>
      <c r="X450" s="699"/>
      <c r="Y450" s="699"/>
    </row>
    <row r="451" spans="12:25" x14ac:dyDescent="0.2">
      <c r="Y451" s="699"/>
    </row>
    <row r="452" spans="12:25" x14ac:dyDescent="0.2">
      <c r="Y452" s="699"/>
    </row>
  </sheetData>
  <sheetProtection password="CC20" sheet="1" objects="1" scenario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8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57" t="s">
        <v>21</v>
      </c>
      <c r="B1" t="s">
        <v>23</v>
      </c>
      <c r="C1" t="s">
        <v>24</v>
      </c>
    </row>
    <row r="2" spans="1:4" x14ac:dyDescent="0.2">
      <c r="A2" s="1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52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57" t="s">
        <v>21</v>
      </c>
      <c r="B1" s="19" t="s">
        <v>21</v>
      </c>
      <c r="C1" s="1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22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22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22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23">
        <f t="shared" si="0"/>
        <v>4.99</v>
      </c>
    </row>
    <row r="6" spans="1:20" x14ac:dyDescent="0.2">
      <c r="A6" s="352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23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23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23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23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23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23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23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23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23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23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23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23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23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23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23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23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23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23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23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23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23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23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23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23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23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23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23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23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23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23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23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23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23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23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23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23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23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23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23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23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23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23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23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2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395" customWidth="1"/>
    <col min="2" max="2" width="2.5703125" style="394" customWidth="1"/>
    <col min="3" max="3" width="14" style="395" customWidth="1"/>
    <col min="4" max="5" width="11.28515625" style="395" customWidth="1"/>
    <col min="6" max="6" width="10.7109375" style="395" customWidth="1"/>
    <col min="7" max="10" width="11.28515625" style="395" customWidth="1"/>
    <col min="11" max="11" width="10.7109375" style="395" customWidth="1"/>
    <col min="12" max="12" width="10.7109375" style="396" customWidth="1"/>
    <col min="13" max="16384" width="10.7109375" style="395"/>
  </cols>
  <sheetData>
    <row r="1" spans="1:12" ht="12.6" customHeight="1" x14ac:dyDescent="0.2">
      <c r="A1" s="393"/>
    </row>
    <row r="2" spans="1:12" ht="12.6" customHeight="1" x14ac:dyDescent="0.2">
      <c r="B2" s="397"/>
      <c r="C2" s="398" t="s">
        <v>452</v>
      </c>
      <c r="D2" s="399">
        <f ca="1">TODAY()</f>
        <v>42751</v>
      </c>
      <c r="E2" s="398" t="s">
        <v>453</v>
      </c>
      <c r="F2" s="891" t="str">
        <f>__2_AchterNaam&amp;", "&amp;__3_VoorNaam</f>
        <v xml:space="preserve">, </v>
      </c>
      <c r="G2" s="891"/>
      <c r="H2" s="400" t="s">
        <v>267</v>
      </c>
      <c r="I2" s="395" t="str">
        <f>_Pat_Gewicht/10&amp;" kg"</f>
        <v>0 kg</v>
      </c>
      <c r="J2" s="391"/>
      <c r="L2" s="401"/>
    </row>
    <row r="3" spans="1:12" ht="12.6" customHeight="1" x14ac:dyDescent="0.2">
      <c r="B3" s="397"/>
      <c r="C3" s="398" t="s">
        <v>198</v>
      </c>
      <c r="D3" s="402">
        <f ca="1">Var_AfspraakDatum-_Pat_OpnDatum+1</f>
        <v>41290</v>
      </c>
      <c r="E3" s="398" t="s">
        <v>451</v>
      </c>
      <c r="F3" s="403">
        <f>__4_GebDatum</f>
        <v>1462</v>
      </c>
      <c r="G3" s="391"/>
      <c r="H3" s="400" t="s">
        <v>128</v>
      </c>
      <c r="I3" s="395" t="str">
        <f>_Pat_Lengte&amp;" cm"</f>
        <v>0 cm</v>
      </c>
      <c r="J3" s="391"/>
      <c r="L3" s="401"/>
    </row>
    <row r="4" spans="1:12" ht="12" customHeight="1" x14ac:dyDescent="0.2">
      <c r="B4" s="397"/>
      <c r="C4" s="398" t="s">
        <v>489</v>
      </c>
      <c r="D4" s="402">
        <f>__1_Bed</f>
        <v>0</v>
      </c>
      <c r="F4" s="391"/>
      <c r="H4" s="400" t="s">
        <v>129</v>
      </c>
      <c r="I4" s="395" t="str">
        <f>ROUND(POWER(_Pat_Gewicht/10,0.425)*POWER(((_Pat_Lengte/100)*100),0.725)*0.007184,2)&amp;" m2"</f>
        <v>0 m2</v>
      </c>
    </row>
    <row r="5" spans="1:12" ht="14.1" customHeight="1" x14ac:dyDescent="0.2">
      <c r="A5" s="404"/>
      <c r="B5" s="405" t="str">
        <f>PedGuiEntTPN!D11</f>
        <v>Voeding</v>
      </c>
      <c r="C5" s="404"/>
      <c r="D5" s="404"/>
      <c r="E5" s="404"/>
      <c r="F5" s="404"/>
      <c r="G5" s="404"/>
      <c r="H5" s="404"/>
      <c r="I5" s="404"/>
      <c r="J5" s="404"/>
      <c r="K5" s="394"/>
    </row>
    <row r="6" spans="1:12" ht="14.1" customHeight="1" x14ac:dyDescent="0.2">
      <c r="A6" s="393"/>
      <c r="B6" s="397"/>
      <c r="C6" s="400" t="s">
        <v>233</v>
      </c>
      <c r="F6" s="400"/>
      <c r="G6" s="395" t="str">
        <f>INDEX(tblSonde,PedBerEnt!G3,1)</f>
        <v>Enteraal voeding</v>
      </c>
      <c r="K6" s="394"/>
    </row>
    <row r="7" spans="1:12" ht="14.1" customHeight="1" x14ac:dyDescent="0.2">
      <c r="C7" s="395" t="e">
        <f>IF(G7&lt;&gt;"",INDEX(tblVoedingPO,_Ped_Ent_Keuze_1,1),)</f>
        <v>#REF!</v>
      </c>
      <c r="F7" s="395" t="str">
        <f>PedGuiEntTPN!H12</f>
        <v/>
      </c>
      <c r="G7" s="395" t="str">
        <f>PedGuiEntTPN!D12&amp;" "&amp;PedGuiEntTPN!E12</f>
        <v xml:space="preserve"> </v>
      </c>
      <c r="K7" s="394"/>
      <c r="L7" s="401"/>
    </row>
    <row r="8" spans="1:12" ht="12.6" customHeight="1" x14ac:dyDescent="0.2">
      <c r="B8" s="397"/>
      <c r="C8" s="400"/>
      <c r="D8" s="406" t="str">
        <f>IF(_Ped_Ent_Keuze_2&gt;1,"met "&amp;PedGuiEntTPN!D14&amp;" "&amp;PedGuiEntTPN!E14&amp;" "&amp;INDEX(tblPO_poederlijst,_Ped_Ent_Keuze_2,1),"")</f>
        <v/>
      </c>
      <c r="H8" s="395" t="e">
        <f>PedGuiEntTPN!#REF!</f>
        <v>#REF!</v>
      </c>
      <c r="K8" s="394"/>
      <c r="L8" s="401"/>
    </row>
    <row r="9" spans="1:12" ht="12.6" customHeight="1" x14ac:dyDescent="0.2">
      <c r="B9" s="397"/>
      <c r="C9" s="400"/>
      <c r="D9" s="406" t="str">
        <f>IF(_Ped_Ent_Keuze_3&gt;1,"met "&amp;PedGuiEntTPN!D15&amp;" "&amp;PedGuiEntTPN!E15&amp;" "&amp;INDEX(tblPO_poederlijst,_Ped_Ent_Keuze_3,1),"")</f>
        <v/>
      </c>
      <c r="H9" s="395" t="e">
        <f>PedGuiEntTPN!#REF!</f>
        <v>#REF!</v>
      </c>
      <c r="K9" s="394"/>
      <c r="L9" s="401"/>
    </row>
    <row r="10" spans="1:12" ht="12.6" customHeight="1" x14ac:dyDescent="0.2">
      <c r="B10" s="397"/>
      <c r="C10" s="400"/>
      <c r="D10" s="406" t="str">
        <f>IF(_Ped_Ent_Keuze_4&gt;1,"met "&amp;PedGuiEntTPN!D16&amp;" "&amp;PedGuiEntTPN!E16&amp;" "&amp;INDEX(tblPO_poederlijst,_Ped_Ent_Keuze_4,1),"")</f>
        <v/>
      </c>
      <c r="H10" s="395" t="e">
        <f>PedGuiEntTPN!#REF!</f>
        <v>#REF!</v>
      </c>
      <c r="K10" s="407"/>
      <c r="L10" s="401"/>
    </row>
    <row r="11" spans="1:12" ht="12.6" customHeight="1" x14ac:dyDescent="0.2">
      <c r="K11" s="407"/>
      <c r="L11" s="401"/>
    </row>
    <row r="12" spans="1:12" ht="12.6" customHeight="1" x14ac:dyDescent="0.2">
      <c r="A12" s="404"/>
      <c r="B12" s="408"/>
      <c r="C12" s="409" t="s">
        <v>285</v>
      </c>
      <c r="D12" s="894" t="str">
        <f>GlobBerOpm!B5</f>
        <v>Opmerking bij enterale voeding</v>
      </c>
      <c r="E12" s="895"/>
      <c r="F12" s="895"/>
      <c r="G12" s="895"/>
      <c r="H12" s="895"/>
      <c r="I12" s="895"/>
      <c r="J12" s="895"/>
      <c r="K12" s="407"/>
      <c r="L12" s="401"/>
    </row>
    <row r="13" spans="1:12" ht="12.6" customHeight="1" x14ac:dyDescent="0.2">
      <c r="L13" s="401"/>
    </row>
    <row r="14" spans="1:12" ht="12.6" customHeight="1" x14ac:dyDescent="0.2">
      <c r="A14" s="404"/>
      <c r="B14" s="405" t="s">
        <v>115</v>
      </c>
      <c r="C14" s="404"/>
      <c r="D14" s="404"/>
      <c r="E14" s="404"/>
      <c r="F14" s="404"/>
      <c r="G14" s="404"/>
      <c r="H14" s="404"/>
      <c r="I14" s="404"/>
      <c r="J14" s="404"/>
      <c r="L14" s="401"/>
    </row>
    <row r="15" spans="1:12" ht="12.6" customHeight="1" x14ac:dyDescent="0.2">
      <c r="B15" s="400"/>
      <c r="C15" s="400" t="s">
        <v>371</v>
      </c>
      <c r="D15" s="896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97"/>
      <c r="F15" s="897"/>
      <c r="G15" s="897"/>
      <c r="H15" s="897"/>
      <c r="I15" s="897"/>
      <c r="J15" s="897"/>
      <c r="L15" s="401"/>
    </row>
    <row r="16" spans="1:12" ht="12.6" customHeight="1" x14ac:dyDescent="0.2">
      <c r="B16" s="400"/>
      <c r="C16" s="400" t="s">
        <v>442</v>
      </c>
      <c r="D16" s="892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93"/>
      <c r="F16" s="893"/>
      <c r="G16" s="893"/>
      <c r="H16" s="893"/>
      <c r="I16" s="893"/>
      <c r="J16" s="893"/>
      <c r="L16" s="401"/>
    </row>
    <row r="17" spans="1:12" ht="12.6" customHeight="1" x14ac:dyDescent="0.2">
      <c r="B17" s="400"/>
      <c r="C17" s="400" t="s">
        <v>443</v>
      </c>
      <c r="D17" s="892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98"/>
      <c r="F17" s="898"/>
      <c r="G17" s="898"/>
      <c r="H17" s="898"/>
      <c r="I17" s="898"/>
      <c r="J17" s="898"/>
      <c r="L17" s="401"/>
    </row>
    <row r="18" spans="1:12" ht="12.6" customHeight="1" x14ac:dyDescent="0.2">
      <c r="B18" s="400"/>
      <c r="C18" s="400" t="s">
        <v>146</v>
      </c>
      <c r="D18" s="892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98"/>
      <c r="F18" s="898"/>
      <c r="G18" s="898"/>
      <c r="H18" s="898"/>
      <c r="I18" s="898"/>
      <c r="J18" s="898"/>
      <c r="L18" s="401"/>
    </row>
    <row r="19" spans="1:12" ht="12.6" customHeight="1" x14ac:dyDescent="0.2">
      <c r="B19" s="400"/>
      <c r="C19" s="410" t="s">
        <v>18</v>
      </c>
      <c r="D19" s="892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9"/>
      <c r="F19" s="899"/>
      <c r="G19" s="899"/>
      <c r="H19" s="899"/>
      <c r="I19" s="899"/>
      <c r="J19" s="899"/>
      <c r="L19" s="401"/>
    </row>
    <row r="20" spans="1:12" ht="12.6" customHeight="1" x14ac:dyDescent="0.2">
      <c r="B20" s="400"/>
      <c r="C20" s="410" t="s">
        <v>285</v>
      </c>
      <c r="D20" s="887">
        <f>GlobBerOpm!B4</f>
        <v>0</v>
      </c>
      <c r="E20" s="888"/>
      <c r="F20" s="888"/>
      <c r="G20" s="888"/>
      <c r="H20" s="888"/>
      <c r="I20" s="888"/>
      <c r="J20" s="888"/>
      <c r="L20" s="401"/>
    </row>
    <row r="21" spans="1:12" ht="12.6" customHeight="1" x14ac:dyDescent="0.2">
      <c r="A21" s="404"/>
      <c r="B21" s="409"/>
      <c r="C21" s="411"/>
      <c r="D21" s="889"/>
      <c r="E21" s="889"/>
      <c r="F21" s="889"/>
      <c r="G21" s="889"/>
      <c r="H21" s="889"/>
      <c r="I21" s="889"/>
      <c r="J21" s="889"/>
      <c r="L21" s="401"/>
    </row>
    <row r="22" spans="1:12" ht="12.6" customHeight="1" x14ac:dyDescent="0.2">
      <c r="L22" s="401"/>
    </row>
    <row r="23" spans="1:12" ht="12.6" customHeight="1" x14ac:dyDescent="0.2">
      <c r="A23" s="404"/>
      <c r="B23" s="405" t="s">
        <v>68</v>
      </c>
      <c r="C23" s="412"/>
      <c r="D23" s="404"/>
      <c r="E23" s="404"/>
      <c r="F23" s="404"/>
      <c r="G23" s="404"/>
      <c r="H23" s="404"/>
      <c r="I23" s="404"/>
      <c r="J23" s="404"/>
      <c r="L23" s="401"/>
    </row>
    <row r="24" spans="1:12" ht="12.6" customHeight="1" x14ac:dyDescent="0.2">
      <c r="B24" s="394" t="s">
        <v>279</v>
      </c>
      <c r="C24" s="413" t="s">
        <v>694</v>
      </c>
      <c r="D24" s="413" t="str">
        <f>IFERROR(LEFT(Var_Ped_AfsprControles,LEN(Var_Ped_AfsprControles)-3),"")</f>
        <v/>
      </c>
      <c r="L24" s="401"/>
    </row>
    <row r="25" spans="1:12" ht="12.6" customHeight="1" x14ac:dyDescent="0.2">
      <c r="B25" s="394" t="s">
        <v>280</v>
      </c>
      <c r="C25" s="413" t="s">
        <v>700</v>
      </c>
      <c r="D25" s="413" t="str">
        <f>IFERROR(LEFT(Var_Ped_AfsprOnderzoeken,LEN(Var_Ped_AfsprOnderzoeken)-3),"")</f>
        <v/>
      </c>
      <c r="L25" s="401"/>
    </row>
    <row r="26" spans="1:12" ht="12.6" customHeight="1" x14ac:dyDescent="0.2">
      <c r="B26" s="394" t="s">
        <v>281</v>
      </c>
      <c r="C26" s="413" t="s">
        <v>900</v>
      </c>
      <c r="D26" s="413" t="str">
        <f>IFERROR(LEFT(Var_Ped_AfsprInstellingen,LEN(Var_Ped_AfsprInstellingen)-3),"")</f>
        <v/>
      </c>
      <c r="L26" s="401"/>
    </row>
    <row r="27" spans="1:12" ht="12.6" customHeight="1" x14ac:dyDescent="0.2">
      <c r="B27" s="394" t="s">
        <v>282</v>
      </c>
      <c r="C27" s="413" t="s">
        <v>679</v>
      </c>
      <c r="D27" s="413" t="str">
        <f>IFERROR(LEFT(Var_Ped_AfsprOverig,LEN(Var_Ped_AfsprOverig)-3),"")</f>
        <v/>
      </c>
      <c r="L27" s="401"/>
    </row>
    <row r="28" spans="1:12" ht="12.6" customHeight="1" x14ac:dyDescent="0.2">
      <c r="C28" s="414"/>
      <c r="D28" s="415"/>
      <c r="E28" s="415"/>
      <c r="F28" s="415"/>
      <c r="G28" s="415"/>
      <c r="H28" s="415"/>
      <c r="I28" s="415"/>
      <c r="J28" s="415"/>
      <c r="L28" s="401"/>
    </row>
    <row r="29" spans="1:12" ht="12.6" customHeight="1" x14ac:dyDescent="0.2">
      <c r="C29" s="416"/>
      <c r="D29" s="415"/>
      <c r="E29" s="415"/>
      <c r="F29" s="415"/>
      <c r="G29" s="415"/>
      <c r="H29" s="415"/>
      <c r="I29" s="415"/>
      <c r="J29" s="415"/>
      <c r="L29" s="401"/>
    </row>
    <row r="30" spans="1:12" ht="12.6" customHeight="1" x14ac:dyDescent="0.2">
      <c r="C30" s="414"/>
      <c r="D30" s="415"/>
      <c r="E30" s="415"/>
      <c r="F30" s="415"/>
      <c r="G30" s="415"/>
      <c r="H30" s="415"/>
      <c r="I30" s="415"/>
      <c r="J30" s="415"/>
      <c r="L30" s="401"/>
    </row>
    <row r="31" spans="1:12" ht="12.6" customHeight="1" x14ac:dyDescent="0.2">
      <c r="C31" s="414"/>
      <c r="D31" s="415"/>
      <c r="E31" s="415"/>
      <c r="F31" s="415"/>
      <c r="G31" s="415"/>
      <c r="H31" s="415"/>
      <c r="I31" s="415"/>
      <c r="J31" s="415"/>
      <c r="L31" s="401"/>
    </row>
    <row r="32" spans="1:12" ht="12.6" customHeight="1" x14ac:dyDescent="0.2">
      <c r="B32" s="417" t="s">
        <v>79</v>
      </c>
      <c r="C32" s="404"/>
      <c r="D32" s="404"/>
      <c r="F32" s="404" t="s">
        <v>441</v>
      </c>
      <c r="G32" s="404"/>
      <c r="H32" s="404"/>
      <c r="I32" s="404"/>
      <c r="L32" s="401"/>
    </row>
    <row r="33" spans="1:12" ht="12.6" customHeight="1" x14ac:dyDescent="0.2">
      <c r="L33" s="401"/>
    </row>
    <row r="34" spans="1:12" ht="12.6" customHeight="1" x14ac:dyDescent="0.2">
      <c r="B34" s="397"/>
      <c r="C34" s="398" t="s">
        <v>452</v>
      </c>
      <c r="D34" s="399">
        <f ca="1">TODAY()</f>
        <v>42751</v>
      </c>
      <c r="E34" s="398" t="s">
        <v>453</v>
      </c>
      <c r="F34" s="891" t="str">
        <f>__2_AchterNaam&amp;", "&amp;__3_VoorNaam</f>
        <v xml:space="preserve">, </v>
      </c>
      <c r="G34" s="891"/>
      <c r="H34" s="400" t="s">
        <v>267</v>
      </c>
      <c r="I34" s="395" t="str">
        <f>_Pat_Gewicht/10&amp;" kg"</f>
        <v>0 kg</v>
      </c>
      <c r="J34" s="391"/>
      <c r="L34" s="401"/>
    </row>
    <row r="35" spans="1:12" ht="12.6" customHeight="1" x14ac:dyDescent="0.2">
      <c r="B35" s="397"/>
      <c r="C35" s="398" t="s">
        <v>198</v>
      </c>
      <c r="D35" s="402">
        <f ca="1">Var_AfspraakDatum-_Pat_OpnDatum+1</f>
        <v>41290</v>
      </c>
      <c r="E35" s="398" t="s">
        <v>451</v>
      </c>
      <c r="F35" s="403">
        <f>__4_GebDatum</f>
        <v>1462</v>
      </c>
      <c r="G35" s="391"/>
      <c r="H35" s="400" t="s">
        <v>128</v>
      </c>
      <c r="I35" s="395" t="str">
        <f>_Pat_Lengte&amp;" cm"</f>
        <v>0 cm</v>
      </c>
      <c r="J35" s="391"/>
      <c r="L35" s="401"/>
    </row>
    <row r="36" spans="1:12" ht="12.6" customHeight="1" x14ac:dyDescent="0.2">
      <c r="D36" s="391"/>
      <c r="F36" s="391"/>
      <c r="H36" s="400" t="s">
        <v>129</v>
      </c>
      <c r="I36" s="395" t="str">
        <f>ROUND(POWER(_Pat_Gewicht/10,0.425)*POWER(((_Pat_Lengte/100)*100),0.725)*0.007184,2)&amp;" m2"</f>
        <v>0 m2</v>
      </c>
      <c r="L36" s="401"/>
    </row>
    <row r="37" spans="1:12" ht="12.6" customHeight="1" x14ac:dyDescent="0.2">
      <c r="D37" s="391"/>
      <c r="F37" s="391"/>
      <c r="L37" s="401"/>
    </row>
    <row r="38" spans="1:12" ht="12.6" customHeight="1" x14ac:dyDescent="0.2">
      <c r="A38" s="404"/>
      <c r="B38" s="405" t="s">
        <v>25</v>
      </c>
      <c r="C38" s="412"/>
      <c r="D38" s="404"/>
      <c r="E38" s="404"/>
      <c r="F38" s="404"/>
      <c r="G38" s="404"/>
      <c r="H38" s="404"/>
      <c r="I38" s="404"/>
      <c r="J38" s="404"/>
      <c r="L38" s="401"/>
    </row>
    <row r="39" spans="1:12" ht="12.6" customHeight="1" x14ac:dyDescent="0.2">
      <c r="B39" s="394">
        <v>1</v>
      </c>
      <c r="C39" s="395">
        <f>INDEX(tblInfusen,PedBerIVenPM!B2,1)</f>
        <v>0</v>
      </c>
      <c r="L39" s="401" t="str">
        <f t="shared" ref="L39:L44" si="0">IF(C39=0,"D","")</f>
        <v>D</v>
      </c>
    </row>
    <row r="40" spans="1:12" ht="12.6" customHeight="1" x14ac:dyDescent="0.2">
      <c r="B40" s="394">
        <v>2</v>
      </c>
      <c r="C40" s="395">
        <f>INDEX(tblInfusen,PedBerIVenPM!B3,1)</f>
        <v>0</v>
      </c>
      <c r="L40" s="401" t="str">
        <f t="shared" si="0"/>
        <v>D</v>
      </c>
    </row>
    <row r="41" spans="1:12" ht="12.6" customHeight="1" x14ac:dyDescent="0.2">
      <c r="B41" s="394">
        <v>3</v>
      </c>
      <c r="C41" s="395">
        <f>INDEX(tblInfusen,PedBerIVenPM!B4,1)</f>
        <v>0</v>
      </c>
      <c r="L41" s="401" t="str">
        <f t="shared" si="0"/>
        <v>D</v>
      </c>
    </row>
    <row r="42" spans="1:12" ht="12.6" customHeight="1" x14ac:dyDescent="0.2">
      <c r="B42" s="394">
        <v>4</v>
      </c>
      <c r="C42" s="395">
        <f>INDEX(tblInfusen,PedBerIVenPM!B5,1)</f>
        <v>0</v>
      </c>
      <c r="L42" s="401" t="str">
        <f t="shared" si="0"/>
        <v>D</v>
      </c>
    </row>
    <row r="43" spans="1:12" ht="12.6" customHeight="1" x14ac:dyDescent="0.2">
      <c r="B43" s="394">
        <v>5</v>
      </c>
      <c r="C43" s="395">
        <f>INDEX(tblInfusen,PedBerIVenPM!B6,1)</f>
        <v>0</v>
      </c>
      <c r="L43" s="401" t="str">
        <f t="shared" si="0"/>
        <v>D</v>
      </c>
    </row>
    <row r="44" spans="1:12" ht="12.6" customHeight="1" x14ac:dyDescent="0.2">
      <c r="B44" s="394">
        <v>6</v>
      </c>
      <c r="C44" s="395">
        <f>INDEX(tblInfusen,PedBerIVenPM!B7,1)</f>
        <v>0</v>
      </c>
      <c r="L44" s="401" t="str">
        <f t="shared" si="0"/>
        <v>D</v>
      </c>
    </row>
    <row r="45" spans="1:12" ht="12.6" customHeight="1" x14ac:dyDescent="0.2">
      <c r="L45" s="401"/>
    </row>
    <row r="46" spans="1:12" ht="12.6" customHeight="1" x14ac:dyDescent="0.2">
      <c r="A46" s="404"/>
      <c r="B46" s="408"/>
      <c r="C46" s="409" t="s">
        <v>285</v>
      </c>
      <c r="D46" s="894">
        <f>GlobBerOpm!B2</f>
        <v>0</v>
      </c>
      <c r="E46" s="895"/>
      <c r="F46" s="895"/>
      <c r="G46" s="895"/>
      <c r="H46" s="895"/>
      <c r="I46" s="895"/>
      <c r="J46" s="895"/>
      <c r="L46" s="401"/>
    </row>
    <row r="47" spans="1:12" ht="12.6" customHeight="1" x14ac:dyDescent="0.2">
      <c r="L47" s="401"/>
    </row>
    <row r="48" spans="1:12" ht="12.6" customHeight="1" x14ac:dyDescent="0.2">
      <c r="L48" s="401"/>
    </row>
    <row r="49" spans="1:12" ht="12.6" customHeight="1" x14ac:dyDescent="0.2">
      <c r="A49" s="404"/>
      <c r="B49" s="405" t="s">
        <v>286</v>
      </c>
      <c r="C49" s="404"/>
      <c r="D49" s="404"/>
      <c r="E49" s="404"/>
      <c r="F49" s="404"/>
      <c r="G49" s="404"/>
      <c r="H49" s="404"/>
      <c r="I49" s="404"/>
      <c r="J49" s="404"/>
      <c r="L49" s="401"/>
    </row>
    <row r="50" spans="1:12" ht="12.6" customHeight="1" x14ac:dyDescent="0.2">
      <c r="B50" s="397"/>
      <c r="C50" s="400" t="s">
        <v>292</v>
      </c>
      <c r="D50" s="400"/>
      <c r="E50" s="400" t="s">
        <v>88</v>
      </c>
      <c r="F50" s="400"/>
      <c r="G50" s="400" t="s">
        <v>293</v>
      </c>
      <c r="H50" s="400"/>
      <c r="I50" s="400"/>
      <c r="J50" s="400" t="s">
        <v>182</v>
      </c>
      <c r="L50" s="401"/>
    </row>
    <row r="51" spans="1:12" ht="12.6" customHeight="1" x14ac:dyDescent="0.2">
      <c r="B51" s="394">
        <v>1</v>
      </c>
      <c r="C51" s="395">
        <f>PedGuiMedIV!E9</f>
        <v>1</v>
      </c>
      <c r="E51" s="395" t="str">
        <f>IF(C51&lt;&gt;0,PedGuiMedIV!F9&amp;" in "&amp;PedGuiMedIV!G9&amp;IF(AND(PedBerMedIV!D7&lt;&gt;4,PedGuiMedIV!H9&lt;&gt;0)," "&amp;PedGuiMedIV!H9,""),"")</f>
        <v xml:space="preserve"> in </v>
      </c>
      <c r="G51" s="395" t="str">
        <f>IF(C51&lt;&gt;0,PedGuiMedIV!I9&amp;" (="&amp;PedGuiMedIV!J9&amp;" " &amp; PedGuiMedIV!K9 &amp;")","")</f>
        <v xml:space="preserve"> (= )</v>
      </c>
      <c r="J51" s="395" t="str">
        <f>PedGuiMedIV!L9</f>
        <v/>
      </c>
      <c r="L51" s="401" t="str">
        <f t="shared" ref="L51:L65" si="1">IF(C51=0,"D","")</f>
        <v/>
      </c>
    </row>
    <row r="52" spans="1:12" ht="12.6" customHeight="1" x14ac:dyDescent="0.2">
      <c r="B52" s="394">
        <v>2</v>
      </c>
      <c r="C52" s="395">
        <f>PedGuiMedIV!E10</f>
        <v>1</v>
      </c>
      <c r="E52" s="395" t="str">
        <f>IF(C52&lt;&gt;0,PedGuiMedIV!F10&amp;" in "&amp;PedGuiMedIV!G10&amp;IF(AND(PedBerMedIV!D8&lt;&gt;4,PedGuiMedIV!H10&lt;&gt;0)," "&amp;PedGuiMedIV!H10,""),"")</f>
        <v xml:space="preserve"> in </v>
      </c>
      <c r="G52" s="395" t="str">
        <f>IF(C52&lt;&gt;0,PedGuiMedIV!I10&amp;" (="&amp;PedGuiMedIV!J10&amp;" " &amp; PedGuiMedIV!K10 &amp;")","")</f>
        <v xml:space="preserve"> (= )</v>
      </c>
      <c r="J52" s="395" t="str">
        <f>PedGuiMedIV!L10</f>
        <v/>
      </c>
      <c r="L52" s="401" t="str">
        <f t="shared" si="1"/>
        <v/>
      </c>
    </row>
    <row r="53" spans="1:12" ht="12.6" customHeight="1" x14ac:dyDescent="0.2">
      <c r="B53" s="394">
        <v>3</v>
      </c>
      <c r="C53" s="395">
        <f>PedGuiMedIV!E11</f>
        <v>1</v>
      </c>
      <c r="E53" s="395" t="str">
        <f>IF(C53&lt;&gt;0,PedGuiMedIV!F11&amp;" in "&amp;PedGuiMedIV!G11&amp;IF(AND(PedBerMedIV!D9&lt;&gt;4,PedGuiMedIV!H11&lt;&gt;0)," "&amp;PedGuiMedIV!H11,""),"")</f>
        <v xml:space="preserve"> in </v>
      </c>
      <c r="G53" s="395" t="str">
        <f>IF(C53&lt;&gt;0,PedGuiMedIV!I11&amp;" (="&amp;PedGuiMedIV!J11&amp;" " &amp; PedGuiMedIV!K11 &amp;")","")</f>
        <v xml:space="preserve"> (= )</v>
      </c>
      <c r="J53" s="395" t="str">
        <f>PedGuiMedIV!L11</f>
        <v/>
      </c>
      <c r="L53" s="401" t="str">
        <f t="shared" si="1"/>
        <v/>
      </c>
    </row>
    <row r="54" spans="1:12" ht="12.6" customHeight="1" x14ac:dyDescent="0.2">
      <c r="B54" s="394">
        <v>4</v>
      </c>
      <c r="C54" s="395">
        <f>PedGuiMedIV!E12</f>
        <v>1</v>
      </c>
      <c r="E54" s="395" t="str">
        <f>IF(C54&lt;&gt;0,PedGuiMedIV!F12&amp;" in "&amp;PedGuiMedIV!G12&amp;IF(AND(PedBerMedIV!D10&lt;&gt;4,PedGuiMedIV!H12&lt;&gt;0)," "&amp;PedGuiMedIV!H12,""),"")</f>
        <v xml:space="preserve"> in </v>
      </c>
      <c r="G54" s="395" t="str">
        <f>IF(C54&lt;&gt;0,PedGuiMedIV!I12&amp;" (="&amp;PedGuiMedIV!J12&amp;" " &amp; PedGuiMedIV!K12 &amp;")","")</f>
        <v xml:space="preserve"> (= )</v>
      </c>
      <c r="J54" s="395" t="str">
        <f>PedGuiMedIV!L12</f>
        <v/>
      </c>
      <c r="L54" s="401" t="str">
        <f t="shared" si="1"/>
        <v/>
      </c>
    </row>
    <row r="55" spans="1:12" ht="12.6" customHeight="1" x14ac:dyDescent="0.2">
      <c r="B55" s="394">
        <v>5</v>
      </c>
      <c r="C55" s="395">
        <f>PedGuiMedIV!E13</f>
        <v>1</v>
      </c>
      <c r="E55" s="395" t="str">
        <f>IF(C55&lt;&gt;0,PedGuiMedIV!F13&amp;" in "&amp;PedGuiMedIV!G13&amp;IF(AND(PedBerMedIV!D11&lt;&gt;4,PedGuiMedIV!H13&lt;&gt;0)," "&amp;PedGuiMedIV!H13,""),"")</f>
        <v xml:space="preserve"> in </v>
      </c>
      <c r="G55" s="395" t="str">
        <f>IF(C55&lt;&gt;0,PedGuiMedIV!I13&amp;" (="&amp;PedGuiMedIV!J13&amp;" " &amp; PedGuiMedIV!K13 &amp;")","")</f>
        <v xml:space="preserve"> (= )</v>
      </c>
      <c r="J55" s="395" t="str">
        <f>PedGuiMedIV!L13</f>
        <v/>
      </c>
      <c r="L55" s="401" t="str">
        <f t="shared" si="1"/>
        <v/>
      </c>
    </row>
    <row r="56" spans="1:12" ht="12.6" customHeight="1" x14ac:dyDescent="0.2">
      <c r="B56" s="394">
        <v>6</v>
      </c>
      <c r="C56" s="395">
        <f>PedGuiMedIV!E14</f>
        <v>1</v>
      </c>
      <c r="E56" s="395" t="str">
        <f>IF(C56&lt;&gt;0,PedGuiMedIV!F14&amp;" in "&amp;PedGuiMedIV!G14&amp;IF(AND(PedBerMedIV!D12&lt;&gt;4,PedGuiMedIV!H14&lt;&gt;0)," "&amp;PedGuiMedIV!H14,""),"")</f>
        <v xml:space="preserve"> in </v>
      </c>
      <c r="G56" s="395" t="str">
        <f>IF(C56&lt;&gt;0,PedGuiMedIV!I14&amp;" (="&amp;PedGuiMedIV!J14&amp;" " &amp; PedGuiMedIV!K14 &amp;")","")</f>
        <v xml:space="preserve"> (= )</v>
      </c>
      <c r="J56" s="395" t="str">
        <f>PedGuiMedIV!L14</f>
        <v/>
      </c>
      <c r="L56" s="401" t="str">
        <f t="shared" si="1"/>
        <v/>
      </c>
    </row>
    <row r="57" spans="1:12" ht="12.6" customHeight="1" x14ac:dyDescent="0.2">
      <c r="B57" s="394">
        <v>7</v>
      </c>
      <c r="C57" s="395">
        <f>PedGuiMedIV!E15</f>
        <v>1</v>
      </c>
      <c r="E57" s="395" t="str">
        <f>IF(C57&lt;&gt;0,PedGuiMedIV!F15&amp;" in "&amp;PedGuiMedIV!G15&amp;IF(AND(PedBerMedIV!D13&lt;&gt;4,PedGuiMedIV!H15&lt;&gt;0)," "&amp;PedGuiMedIV!H15,""),"")</f>
        <v xml:space="preserve"> in </v>
      </c>
      <c r="G57" s="395" t="str">
        <f>IF(C57&lt;&gt;0,PedGuiMedIV!I15&amp;" (="&amp;PedGuiMedIV!J15&amp;" " &amp; PedGuiMedIV!K15 &amp;")","")</f>
        <v xml:space="preserve"> (= )</v>
      </c>
      <c r="J57" s="395" t="str">
        <f>PedGuiMedIV!L15</f>
        <v/>
      </c>
      <c r="L57" s="401" t="str">
        <f t="shared" si="1"/>
        <v/>
      </c>
    </row>
    <row r="58" spans="1:12" ht="12.6" customHeight="1" x14ac:dyDescent="0.2">
      <c r="B58" s="394">
        <v>8</v>
      </c>
      <c r="C58" s="395">
        <f>PedGuiMedIV!E16</f>
        <v>1</v>
      </c>
      <c r="E58" s="395" t="str">
        <f>IF(C58&lt;&gt;0,PedGuiMedIV!F16&amp;" in "&amp;PedGuiMedIV!G16&amp;IF(AND(PedBerMedIV!D14&lt;&gt;4,PedGuiMedIV!H16&lt;&gt;0)," "&amp;PedGuiMedIV!H16,""),"")</f>
        <v xml:space="preserve"> in </v>
      </c>
      <c r="G58" s="395" t="str">
        <f>IF(C58&lt;&gt;0,PedGuiMedIV!I16&amp;" (="&amp;PedGuiMedIV!J16&amp;" " &amp; PedGuiMedIV!K16 &amp;")","")</f>
        <v xml:space="preserve"> (= )</v>
      </c>
      <c r="J58" s="395" t="str">
        <f>PedGuiMedIV!L16</f>
        <v/>
      </c>
      <c r="L58" s="401" t="str">
        <f t="shared" si="1"/>
        <v/>
      </c>
    </row>
    <row r="59" spans="1:12" ht="12.6" customHeight="1" x14ac:dyDescent="0.2">
      <c r="B59" s="394">
        <v>9</v>
      </c>
      <c r="C59" s="395">
        <f>PedGuiMedIV!E17</f>
        <v>1</v>
      </c>
      <c r="E59" s="395" t="str">
        <f>IF(C59&lt;&gt;0,PedGuiMedIV!F17&amp;" in "&amp;PedGuiMedIV!G17&amp;IF(AND(PedBerMedIV!D21&lt;&gt;4,PedGuiMedIV!H17&lt;&gt;0)," "&amp;PedGuiMedIV!H17,""),"")</f>
        <v xml:space="preserve"> in </v>
      </c>
      <c r="G59" s="395" t="str">
        <f>IF(C59&lt;&gt;0,PedGuiMedIV!I17&amp;" (="&amp;PedGuiMedIV!J17&amp;" " &amp; PedGuiMedIV!K17 &amp;")","")</f>
        <v xml:space="preserve"> (= )</v>
      </c>
      <c r="J59" s="395" t="str">
        <f>PedGuiMedIV!L17</f>
        <v/>
      </c>
      <c r="L59" s="401" t="str">
        <f t="shared" si="1"/>
        <v/>
      </c>
    </row>
    <row r="60" spans="1:12" ht="12.6" customHeight="1" x14ac:dyDescent="0.2">
      <c r="B60" s="394">
        <v>10</v>
      </c>
      <c r="C60" s="395">
        <f>PedGuiMedIV!E18</f>
        <v>1</v>
      </c>
      <c r="E60" s="395" t="str">
        <f>IF(C60&lt;&gt;0,PedGuiMedIV!F18&amp;" in "&amp;PedGuiMedIV!G18&amp;IF(AND(PedBerMedIV!D22&lt;&gt;4,PedGuiMedIV!H18&lt;&gt;0)," "&amp;PedGuiMedIV!H18,""),"")</f>
        <v xml:space="preserve"> in </v>
      </c>
      <c r="G60" s="395" t="str">
        <f>IF(C60&lt;&gt;0,PedGuiMedIV!I18&amp;" (="&amp;PedGuiMedIV!J18&amp;" " &amp; PedGuiMedIV!K18 &amp;")","")</f>
        <v xml:space="preserve"> (= )</v>
      </c>
      <c r="J60" s="395" t="str">
        <f>PedGuiMedIV!L18</f>
        <v/>
      </c>
      <c r="L60" s="401" t="str">
        <f t="shared" si="1"/>
        <v/>
      </c>
    </row>
    <row r="61" spans="1:12" ht="12.6" customHeight="1" x14ac:dyDescent="0.2">
      <c r="B61" s="394">
        <v>11</v>
      </c>
      <c r="C61" s="395" t="str">
        <f>PedGuiMedIV!E25</f>
        <v/>
      </c>
      <c r="E61" s="395" t="str">
        <f>IF(C61&lt;&gt;0,PedGuiMedIV!F25&amp;" in "&amp;PedGuiMedIV!G25&amp;IF(AND(PedBerMedIV!D23&lt;&gt;4,PedGuiMedIV!H25&lt;&gt;0)," "&amp;PedGuiMedIV!H25,""),"")</f>
        <v xml:space="preserve">0 in </v>
      </c>
      <c r="G61" s="395" t="str">
        <f>IF(C61&lt;&gt;0,PedGuiMedIV!I25,"")</f>
        <v/>
      </c>
      <c r="J61" s="395" t="str">
        <f>PedGuiMedIV!L25</f>
        <v/>
      </c>
      <c r="L61" s="401" t="str">
        <f t="shared" si="1"/>
        <v/>
      </c>
    </row>
    <row r="62" spans="1:12" ht="12.6" customHeight="1" x14ac:dyDescent="0.2">
      <c r="B62" s="394">
        <v>12</v>
      </c>
      <c r="C62" s="395" t="str">
        <f>PedGuiMedIV!E26</f>
        <v/>
      </c>
      <c r="E62" s="395" t="str">
        <f>IF(C62&lt;&gt;0,PedGuiMedIV!F26&amp;" in "&amp;PedGuiMedIV!G26&amp;IF(AND(PedBerMedIV!D24&lt;&gt;4,PedGuiMedIV!H26&lt;&gt;0)," "&amp;PedGuiMedIV!H26,""),"")</f>
        <v xml:space="preserve">0 in </v>
      </c>
      <c r="G62" s="395" t="str">
        <f>IF(C62&lt;&gt;0,PedGuiMedIV!I26,"")</f>
        <v/>
      </c>
      <c r="J62" s="395" t="str">
        <f>PedGuiMedIV!L26</f>
        <v/>
      </c>
      <c r="L62" s="401" t="str">
        <f t="shared" si="1"/>
        <v/>
      </c>
    </row>
    <row r="63" spans="1:12" ht="12.6" customHeight="1" x14ac:dyDescent="0.2">
      <c r="B63" s="394">
        <v>13</v>
      </c>
      <c r="C63" s="395" t="str">
        <f>PedGuiMedIV!E27</f>
        <v/>
      </c>
      <c r="E63" s="395" t="str">
        <f>IF(C63&lt;&gt;0,PedGuiMedIV!F27&amp;" in "&amp;PedGuiMedIV!G27&amp;IF(AND(PedBerMedIV!D25&lt;&gt;4,PedGuiMedIV!H27&lt;&gt;0)," "&amp;PedGuiMedIV!H27,""),"")</f>
        <v xml:space="preserve">0 in </v>
      </c>
      <c r="G63" s="395" t="str">
        <f>IF(C63&lt;&gt;0,PedGuiMedIV!I27,"")</f>
        <v/>
      </c>
      <c r="J63" s="395" t="str">
        <f>PedGuiMedIV!L27</f>
        <v/>
      </c>
      <c r="L63" s="401" t="str">
        <f t="shared" si="1"/>
        <v/>
      </c>
    </row>
    <row r="64" spans="1:12" ht="12.6" customHeight="1" x14ac:dyDescent="0.2">
      <c r="B64" s="394">
        <v>14</v>
      </c>
      <c r="C64" s="395" t="str">
        <f>PedGuiMedIV!E28</f>
        <v/>
      </c>
      <c r="E64" s="395" t="str">
        <f>IF(C64&lt;&gt;0,PedGuiMedIV!F28&amp;" in "&amp;PedGuiMedIV!G28&amp;IF(AND(PedBerMedIV!D26&lt;&gt;4,PedGuiMedIV!H28&lt;&gt;0)," "&amp;PedGuiMedIV!H28,""),"")</f>
        <v xml:space="preserve">0 in </v>
      </c>
      <c r="G64" s="395" t="str">
        <f>IF(C64&lt;&gt;0,PedGuiMedIV!I28,"")</f>
        <v/>
      </c>
      <c r="J64" s="395" t="str">
        <f>PedGuiMedIV!L28</f>
        <v/>
      </c>
      <c r="L64" s="401" t="str">
        <f t="shared" si="1"/>
        <v/>
      </c>
    </row>
    <row r="65" spans="1:12" ht="12.6" customHeight="1" x14ac:dyDescent="0.2">
      <c r="B65" s="394">
        <v>15</v>
      </c>
      <c r="C65" s="395" t="str">
        <f>PedGuiMedIV!E29</f>
        <v/>
      </c>
      <c r="E65" s="395" t="str">
        <f>IF(C65&lt;&gt;0,PedGuiMedIV!F29&amp;" in "&amp;PedGuiMedIV!G29&amp;IF(AND(PedBerMedIV!D27&lt;&gt;4,PedGuiMedIV!H29&lt;&gt;0)," "&amp;PedGuiMedIV!H29,""),"")</f>
        <v xml:space="preserve">0 in </v>
      </c>
      <c r="G65" s="395" t="str">
        <f>IF(C65&lt;&gt;0,PedGuiMedIV!I29,"")</f>
        <v/>
      </c>
      <c r="J65" s="395" t="str">
        <f>PedGuiMedIV!L29</f>
        <v/>
      </c>
      <c r="L65" s="401" t="str">
        <f t="shared" si="1"/>
        <v/>
      </c>
    </row>
    <row r="66" spans="1:12" ht="12.6" customHeight="1" x14ac:dyDescent="0.2">
      <c r="L66" s="401"/>
    </row>
    <row r="67" spans="1:12" ht="12.6" customHeight="1" x14ac:dyDescent="0.2">
      <c r="B67" s="397"/>
      <c r="C67" s="400" t="s">
        <v>285</v>
      </c>
      <c r="D67" s="887" t="e">
        <f>GlobBerOpm!#REF!</f>
        <v>#REF!</v>
      </c>
      <c r="E67" s="887"/>
      <c r="F67" s="887"/>
      <c r="G67" s="887"/>
      <c r="H67" s="887"/>
      <c r="I67" s="887"/>
      <c r="J67" s="887"/>
      <c r="L67" s="401"/>
    </row>
    <row r="68" spans="1:12" ht="12.6" customHeight="1" x14ac:dyDescent="0.2">
      <c r="D68" s="890"/>
      <c r="E68" s="890"/>
      <c r="F68" s="890"/>
      <c r="G68" s="890"/>
      <c r="H68" s="890"/>
      <c r="I68" s="890"/>
      <c r="J68" s="890"/>
      <c r="L68" s="401"/>
    </row>
    <row r="69" spans="1:12" ht="12.6" customHeight="1" x14ac:dyDescent="0.2">
      <c r="A69" s="404"/>
      <c r="B69" s="405" t="str">
        <f>PedGuiEntTPN!D20</f>
        <v>Intraveneus</v>
      </c>
      <c r="C69" s="412"/>
      <c r="D69" s="404"/>
      <c r="E69" s="404"/>
      <c r="F69" s="404"/>
      <c r="G69" s="404"/>
      <c r="H69" s="404"/>
      <c r="I69" s="404"/>
      <c r="J69" s="404"/>
      <c r="L69" s="401"/>
    </row>
    <row r="70" spans="1:12" ht="12.6" customHeight="1" x14ac:dyDescent="0.2">
      <c r="B70" s="397"/>
      <c r="C70" s="400"/>
      <c r="D70" s="418">
        <f>IF(E70&lt;&gt;"",PedGuiEntTPN!D22,)</f>
        <v>0</v>
      </c>
      <c r="E70" s="419" t="str">
        <f>IF(PedPrtTPN2tot6!G21&lt;&gt;0,PedPrtTPN2tot6!A14&amp;" ml","")</f>
        <v/>
      </c>
      <c r="F70" s="419" t="str">
        <f>IF(PedPrtTPN2tot6!G21&lt;&gt;0,PedPrtTPN2tot6!G21&amp;" ml","")</f>
        <v/>
      </c>
      <c r="G70" s="420"/>
      <c r="H70" s="418">
        <f>IF(I70&lt;&gt;"",PedGuiEntTPN!I22,)</f>
        <v>0</v>
      </c>
      <c r="I70" s="419" t="str">
        <f>PedGuiEntTPN!J22</f>
        <v/>
      </c>
      <c r="J70" s="419" t="str">
        <f>PedGuiEntTPN!L22</f>
        <v/>
      </c>
      <c r="L70" s="401"/>
    </row>
    <row r="71" spans="1:12" ht="12.6" customHeight="1" x14ac:dyDescent="0.2">
      <c r="B71" s="397"/>
      <c r="C71" s="400"/>
      <c r="D71" s="398" t="str">
        <f>IF(F71&lt;&gt;"",PedBerTPN!A28,"")</f>
        <v/>
      </c>
      <c r="E71" s="395" t="str">
        <f>IF(PedBerTPN!B4=4,ROUND(PedBerTPN!D4,1)&amp;" ml/uur","")</f>
        <v/>
      </c>
      <c r="F71" s="395" t="str">
        <f>PedGuiEntTPN!F23</f>
        <v/>
      </c>
      <c r="G71" s="400"/>
      <c r="H71" s="398">
        <f>IF(J71&lt;&gt;"",INDEX(tblSSTGlucose,_Ped_TPN_SST2Keuze,1),)</f>
        <v>0</v>
      </c>
      <c r="J71" s="395" t="str">
        <f>PedGuiEntTPN!K25</f>
        <v/>
      </c>
      <c r="L71" s="401" t="str">
        <f>IF(AND(D71="",H71=0),"D","")</f>
        <v>D</v>
      </c>
    </row>
    <row r="72" spans="1:12" ht="12.6" customHeight="1" x14ac:dyDescent="0.2">
      <c r="B72" s="397"/>
      <c r="C72" s="400"/>
      <c r="D72" s="398" t="str">
        <f>IF(PedGuiEntTPN!H23&lt;&gt;"","Peditrace","")</f>
        <v/>
      </c>
      <c r="E72" s="391" t="str">
        <f>IF(PedGuiEntTPN!H23&lt;&gt;"",PedGuiEntTPN!H23&amp;" "&amp;PedGuiEntTPN!G25,"")</f>
        <v/>
      </c>
      <c r="F72" s="392"/>
      <c r="G72" s="400"/>
      <c r="H72" s="398">
        <f>IF(J72&lt;&gt;"",PedGuiEntTPN!I26,)</f>
        <v>0</v>
      </c>
      <c r="J72" s="395" t="str">
        <f>PedGuiEntTPN!J26</f>
        <v/>
      </c>
      <c r="L72" s="401" t="str">
        <f>IF(AND(D72="",H72=0),"D","")</f>
        <v>D</v>
      </c>
    </row>
    <row r="73" spans="1:12" ht="12.6" customHeight="1" x14ac:dyDescent="0.2">
      <c r="B73" s="397"/>
      <c r="C73" s="400"/>
      <c r="D73" s="398">
        <f>IF(F73&lt;&gt;"",INDEX(tblSSTGlucose,_Ped_TPN_SST1Keuze,1),)</f>
        <v>0</v>
      </c>
      <c r="F73" s="395" t="str">
        <f>IF(AND(_Ped_TPN_Keuze=2,_Ped_TPN_SST1Keuze&lt;11,_Pat_Gewicht/10&lt;=50),ROUND(PedBerTPN!F6,0)&amp;" ml","")</f>
        <v/>
      </c>
      <c r="G73" s="400"/>
      <c r="H73" s="398">
        <f>IF(J73&lt;&gt;"",PedGuiEntTPN!I27,)</f>
        <v>0</v>
      </c>
      <c r="J73" s="395" t="str">
        <f>PedGuiEntTPN!J27</f>
        <v/>
      </c>
      <c r="L73" s="401" t="str">
        <f>IF(AND(D73="",H73=0),"D","")</f>
        <v/>
      </c>
    </row>
    <row r="74" spans="1:12" ht="12.6" customHeight="1" x14ac:dyDescent="0.2">
      <c r="B74" s="397"/>
      <c r="C74" s="400"/>
      <c r="D74" s="398">
        <f>IF(F74&lt;&gt;"",PedGuiEntTPN!D26,)</f>
        <v>0</v>
      </c>
      <c r="F74" s="395" t="str">
        <f>IF(AND(PedPrtTPN2tot6!G14&lt;&gt;"",PedBerTPN!$F$4&gt;0),PedPrtTPN2tot6!G14&amp;" ml","")</f>
        <v/>
      </c>
      <c r="L74" s="401" t="str">
        <f>IF(D74=0,"D","")</f>
        <v>D</v>
      </c>
    </row>
    <row r="75" spans="1:12" ht="12.6" customHeight="1" x14ac:dyDescent="0.2">
      <c r="B75" s="397"/>
      <c r="C75" s="400"/>
      <c r="D75" s="398">
        <f>IF(F75&lt;&gt;"",PedGuiEntTPN!D27,)</f>
        <v>0</v>
      </c>
      <c r="F75" s="395" t="str">
        <f>IF(AND(PedPrtTPN2tot6!G15&lt;&gt;"",PedBerTPN!$F$4&gt;0),PedPrtTPN2tot6!G15&amp;" ml","")</f>
        <v/>
      </c>
      <c r="L75" s="401" t="str">
        <f>IF(D75=0,"D","")</f>
        <v>D</v>
      </c>
    </row>
    <row r="76" spans="1:12" ht="12.6" customHeight="1" x14ac:dyDescent="0.2">
      <c r="D76" s="421"/>
      <c r="H76" s="421"/>
      <c r="L76" s="401"/>
    </row>
    <row r="77" spans="1:12" ht="12.6" customHeight="1" x14ac:dyDescent="0.2">
      <c r="B77" s="397"/>
      <c r="C77" s="400"/>
      <c r="D77" s="422" t="str">
        <f>IF(F77&lt;&gt;"","Electrolyt/Glucose mengsel","")</f>
        <v/>
      </c>
      <c r="E77" s="404" t="str">
        <f>IF(AND(_Pat_Gewicht/10&gt;50,PedPrtTPN50!A27&lt;&gt;""),PedPrtTPN50!A27,PedPrtTPN2tot6!A29)</f>
        <v/>
      </c>
      <c r="F77" s="404" t="str">
        <f>IF(AND(_Pat_Gewicht/10&gt;50,PedPrtTPN50!G35&lt;&gt;0),PedPrtTPN50!G35&amp;" ml",IF(PedPrtTPN2tot6!G36&lt;&gt;0,PedPrtTPN2tot6!G36&amp;" ml",""))</f>
        <v/>
      </c>
      <c r="G77" s="404"/>
      <c r="H77" s="423"/>
      <c r="I77" s="404"/>
      <c r="J77" s="404"/>
      <c r="L77" s="401"/>
    </row>
    <row r="78" spans="1:12" ht="12.6" customHeight="1" x14ac:dyDescent="0.2">
      <c r="B78" s="397"/>
      <c r="C78" s="400"/>
      <c r="D78" s="398">
        <f>IF(F78&lt;&gt;"",INDEX(tblSSTGlucose,_Ped_TPN_SST1Keuze,1),)</f>
        <v>0</v>
      </c>
      <c r="E78" s="424"/>
      <c r="F78" s="395" t="str">
        <f>IF(AND(OR(_Ped_TPN_Keuze=1,AND(_Ped_TPN_Keuze=2,_Ped_TPN_SST1Keuze&gt;10),_Pat_Gewicht/10&gt;50),ROUND(PedBerTPN!F6,0)&lt;&gt;0,_Ped_TPN_SST1Keuze&lt;&gt;2),ROUND(PedBerTPN!F6,0)&amp;" ml","")</f>
        <v/>
      </c>
      <c r="L78" s="401" t="str">
        <f>IF(D78=0,"D","")</f>
        <v>D</v>
      </c>
    </row>
    <row r="79" spans="1:12" ht="12.6" customHeight="1" x14ac:dyDescent="0.2">
      <c r="B79" s="397"/>
      <c r="C79" s="400"/>
      <c r="D79" s="398">
        <f>IF(F79&lt;&gt;"","CaGluc 10%",)</f>
        <v>0</v>
      </c>
      <c r="F79" s="395" t="str">
        <f>PedGuiEntTPN!F29</f>
        <v/>
      </c>
      <c r="L79" s="401" t="str">
        <f t="shared" ref="L79:L85" si="2">IF(D79=0,"D","")</f>
        <v>D</v>
      </c>
    </row>
    <row r="80" spans="1:12" ht="12.6" customHeight="1" x14ac:dyDescent="0.2">
      <c r="B80" s="397"/>
      <c r="C80" s="400"/>
      <c r="D80" s="398">
        <f>IF(F80&lt;&gt;"","MgCl 10%",)</f>
        <v>0</v>
      </c>
      <c r="F80" s="395" t="str">
        <f>PedGuiEntTPN!F30</f>
        <v/>
      </c>
      <c r="L80" s="401" t="str">
        <f t="shared" si="2"/>
        <v>D</v>
      </c>
    </row>
    <row r="81" spans="1:12" ht="12.6" customHeight="1" x14ac:dyDescent="0.2">
      <c r="B81" s="397"/>
      <c r="C81" s="400"/>
      <c r="D81" s="398">
        <f>IF(F81&lt;&gt;"",PedGuiEntTPN!D26,)</f>
        <v>0</v>
      </c>
      <c r="F81" s="395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421"/>
      <c r="L81" s="401" t="str">
        <f t="shared" si="2"/>
        <v>D</v>
      </c>
    </row>
    <row r="82" spans="1:12" ht="12.6" customHeight="1" x14ac:dyDescent="0.2">
      <c r="B82" s="397"/>
      <c r="C82" s="400"/>
      <c r="D82" s="398">
        <f>IF(F82&lt;&gt;"",PedGuiEntTPN!D27,)</f>
        <v>0</v>
      </c>
      <c r="F82" s="395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421"/>
      <c r="L82" s="401" t="str">
        <f t="shared" si="2"/>
        <v>D</v>
      </c>
    </row>
    <row r="83" spans="1:12" ht="12.6" customHeight="1" x14ac:dyDescent="0.2">
      <c r="B83" s="397"/>
      <c r="C83" s="400"/>
      <c r="D83" s="398" t="str">
        <f>IF(F83&lt;&gt;"","Glucose 10%","")</f>
        <v/>
      </c>
      <c r="F83" s="395" t="str">
        <f>IF(AND(_Pat_Gewicht/10&gt;51,PedPrtTPN50!G31&lt;&gt;0),PedPrtTPN50!G31&amp;" ml",IF(AND(PedPrtTPN2tot6!G33&lt;&gt;0,_Pat_Gewicht/10&lt;=50),PedPrtTPN2tot6!G33&amp;" ml",""))</f>
        <v/>
      </c>
      <c r="H83" s="421"/>
      <c r="L83" s="401" t="str">
        <f t="shared" si="2"/>
        <v/>
      </c>
    </row>
    <row r="84" spans="1:12" ht="12.6" customHeight="1" x14ac:dyDescent="0.2">
      <c r="L84" s="401"/>
    </row>
    <row r="85" spans="1:12" ht="12.6" customHeight="1" x14ac:dyDescent="0.2">
      <c r="B85" s="397"/>
      <c r="C85" s="400"/>
      <c r="D85" s="425">
        <f>IF(E85&lt;&gt;" ","KNaFosfaat",)</f>
        <v>0</v>
      </c>
      <c r="E85" s="404" t="str">
        <f>PedGuiEntTPN!F32&amp;" "&amp;PedGuiEntTPN!I32</f>
        <v xml:space="preserve"> </v>
      </c>
      <c r="F85" s="404"/>
      <c r="L85" s="401" t="str">
        <f t="shared" si="2"/>
        <v>D</v>
      </c>
    </row>
    <row r="86" spans="1:12" ht="12.6" customHeight="1" x14ac:dyDescent="0.2">
      <c r="L86" s="401"/>
    </row>
    <row r="87" spans="1:12" ht="12.6" customHeight="1" x14ac:dyDescent="0.2">
      <c r="B87" s="397"/>
      <c r="C87" s="400"/>
      <c r="D87" s="426">
        <f>IF(E87&lt;&gt;"",PedGuiEntTPN!D34,)</f>
        <v>0</v>
      </c>
      <c r="E87" s="404" t="str">
        <f>PedGuiEntTPN!E34</f>
        <v/>
      </c>
      <c r="F87" s="404" t="str">
        <f>IF(ROUND(PedBerTPN!F12,0)&gt;0,ROUND(PedBerTPN!F12,0)&amp;" ml","")</f>
        <v/>
      </c>
      <c r="H87" s="391"/>
      <c r="L87" s="401"/>
    </row>
    <row r="88" spans="1:12" ht="12.6" customHeight="1" x14ac:dyDescent="0.2">
      <c r="B88" s="397"/>
      <c r="C88" s="400"/>
      <c r="D88" s="398">
        <f>IF(F88&lt;&gt;"","Intralipid 20%",)</f>
        <v>0</v>
      </c>
      <c r="F88" s="395" t="str">
        <f>PedGuiEntTPN!F35</f>
        <v/>
      </c>
      <c r="H88" s="421"/>
      <c r="L88" s="401" t="str">
        <f>IF(D88=0,"D","")</f>
        <v>D</v>
      </c>
    </row>
    <row r="89" spans="1:12" ht="12.6" customHeight="1" x14ac:dyDescent="0.2">
      <c r="B89" s="397"/>
      <c r="C89" s="400"/>
      <c r="D89" s="398">
        <f>IF(F89&lt;&gt;"","Vitintra Infant",)</f>
        <v>0</v>
      </c>
      <c r="F89" s="395" t="str">
        <f>PedGuiEntTPN!F36</f>
        <v/>
      </c>
      <c r="H89" s="421"/>
      <c r="L89" s="401" t="str">
        <f>IF(D89=0,"D","")</f>
        <v>D</v>
      </c>
    </row>
    <row r="90" spans="1:12" ht="12.6" customHeight="1" x14ac:dyDescent="0.2">
      <c r="B90" s="397"/>
      <c r="C90" s="400"/>
      <c r="D90" s="398">
        <f>IF(F90&lt;&gt;"","Soluvit",)</f>
        <v>0</v>
      </c>
      <c r="F90" s="395" t="str">
        <f>PedGuiEntTPN!F37</f>
        <v/>
      </c>
      <c r="H90" s="421"/>
      <c r="L90" s="401" t="str">
        <f>IF(D90=0,"D","")</f>
        <v>D</v>
      </c>
    </row>
    <row r="91" spans="1:12" ht="12.6" customHeight="1" x14ac:dyDescent="0.2">
      <c r="C91" s="421"/>
      <c r="L91" s="401"/>
    </row>
    <row r="92" spans="1:12" ht="12.6" customHeight="1" x14ac:dyDescent="0.2">
      <c r="A92" s="404"/>
      <c r="B92" s="408"/>
      <c r="C92" s="409" t="s">
        <v>285</v>
      </c>
      <c r="D92" s="894">
        <f>GlobBerOpm!B3</f>
        <v>0</v>
      </c>
      <c r="E92" s="895"/>
      <c r="F92" s="895"/>
      <c r="G92" s="895"/>
      <c r="H92" s="895"/>
      <c r="I92" s="895"/>
      <c r="J92" s="895"/>
      <c r="L92" s="401"/>
    </row>
    <row r="93" spans="1:12" ht="12.6" customHeight="1" x14ac:dyDescent="0.2">
      <c r="L93" s="401"/>
    </row>
    <row r="94" spans="1:12" ht="12.6" customHeight="1" x14ac:dyDescent="0.2">
      <c r="L94" s="401"/>
    </row>
    <row r="95" spans="1:12" ht="12.6" customHeight="1" x14ac:dyDescent="0.2">
      <c r="A95" s="404"/>
      <c r="B95" s="405" t="s">
        <v>348</v>
      </c>
      <c r="C95" s="412"/>
      <c r="D95" s="404"/>
      <c r="E95" s="404"/>
      <c r="F95" s="404"/>
      <c r="G95" s="404"/>
      <c r="H95" s="404"/>
      <c r="I95" s="404"/>
      <c r="J95" s="404"/>
      <c r="L95" s="401"/>
    </row>
    <row r="96" spans="1:12" ht="12.6" customHeight="1" x14ac:dyDescent="0.2">
      <c r="B96" s="397"/>
      <c r="C96" s="398" t="str">
        <f>PedGuiEntTPN!C41</f>
        <v>Vocht</v>
      </c>
      <c r="D96" s="395" t="str">
        <f>PedGuiEntTPN!E41</f>
        <v>0 ml/kg</v>
      </c>
      <c r="E96" s="398" t="str">
        <f>PedGuiEntTPN!C42</f>
        <v>Calorieen</v>
      </c>
      <c r="F96" s="395" t="str">
        <f>PedGuiEntTPN!E42</f>
        <v>0 kCal/kg</v>
      </c>
      <c r="G96" s="398" t="str">
        <f>PedGuiEntTPN!C45</f>
        <v>Kalium</v>
      </c>
      <c r="H96" s="395" t="str">
        <f>PedGuiEntTPN!E45</f>
        <v>0 mmol/kg</v>
      </c>
      <c r="I96" s="398" t="str">
        <f>PedGuiEntTPN!C44</f>
        <v xml:space="preserve">Natrium </v>
      </c>
      <c r="J96" s="395" t="str">
        <f>PedGuiEntTPN!E44</f>
        <v>0 mmol/kg</v>
      </c>
      <c r="L96" s="401"/>
    </row>
    <row r="97" spans="1:12" ht="12.6" customHeight="1" x14ac:dyDescent="0.2">
      <c r="B97" s="397"/>
      <c r="C97" s="398" t="str">
        <f>PedGuiEntTPN!I41</f>
        <v>Eiwit</v>
      </c>
      <c r="D97" s="395" t="str">
        <f>PedGuiEntTPN!J41</f>
        <v>0  gram/kg</v>
      </c>
      <c r="E97" s="398" t="str">
        <f>PedGuiEntTPN!I42</f>
        <v>Vet</v>
      </c>
      <c r="F97" s="395" t="str">
        <f>PedGuiEntTPN!J42</f>
        <v>0 gram/kg</v>
      </c>
      <c r="G97" s="398" t="str">
        <f>PedGuiEntTPN!I43</f>
        <v>Calcium</v>
      </c>
      <c r="H97" s="395" t="str">
        <f>PedGuiEntTPN!J43</f>
        <v>0 mmol/kg</v>
      </c>
      <c r="I97" s="398" t="str">
        <f>PedGuiEntTPN!I45</f>
        <v>Fosfaat</v>
      </c>
      <c r="J97" s="395" t="str">
        <f>PedGuiEntTPN!J45</f>
        <v>0 mmol/kg</v>
      </c>
      <c r="L97" s="401"/>
    </row>
    <row r="98" spans="1:12" ht="12.6" customHeight="1" x14ac:dyDescent="0.2">
      <c r="A98" s="404"/>
      <c r="B98" s="408"/>
      <c r="C98" s="427" t="str">
        <f>PedGuiEntTPN!C43</f>
        <v>Glucose/KH</v>
      </c>
      <c r="D98" s="404" t="str">
        <f>PedGuiEntTPN!E43</f>
        <v>0 g/kg</v>
      </c>
      <c r="E98" s="409"/>
      <c r="F98" s="404"/>
      <c r="G98" s="427" t="s">
        <v>309</v>
      </c>
      <c r="H98" s="404" t="str">
        <f>PedGuiEntTPN!J44</f>
        <v>0 mmol/kg</v>
      </c>
      <c r="I98" s="409"/>
      <c r="J98" s="404"/>
      <c r="L98" s="401"/>
    </row>
    <row r="99" spans="1:12" ht="12.6" customHeight="1" x14ac:dyDescent="0.2">
      <c r="B99" s="397"/>
      <c r="C99" s="398" t="s">
        <v>452</v>
      </c>
      <c r="D99" s="399">
        <f ca="1">TODAY()</f>
        <v>42751</v>
      </c>
      <c r="E99" s="398" t="s">
        <v>453</v>
      </c>
      <c r="F99" s="891" t="str">
        <f>__2_AchterNaam&amp;", "&amp;__3_VoorNaam</f>
        <v xml:space="preserve">, </v>
      </c>
      <c r="G99" s="891"/>
      <c r="H99" s="400" t="s">
        <v>267</v>
      </c>
      <c r="I99" s="395" t="str">
        <f>_Pat_Gewicht/10&amp;" kg"</f>
        <v>0 kg</v>
      </c>
      <c r="J99" s="391"/>
      <c r="L99" s="401"/>
    </row>
    <row r="100" spans="1:12" ht="12.6" customHeight="1" x14ac:dyDescent="0.2">
      <c r="B100" s="397"/>
      <c r="C100" s="398" t="s">
        <v>198</v>
      </c>
      <c r="D100" s="402">
        <f ca="1">Var_AfspraakDatum-_Pat_OpnDatum+1</f>
        <v>41290</v>
      </c>
      <c r="E100" s="398" t="s">
        <v>451</v>
      </c>
      <c r="F100" s="403">
        <f>__4_GebDatum</f>
        <v>1462</v>
      </c>
      <c r="G100" s="391"/>
      <c r="H100" s="400" t="s">
        <v>128</v>
      </c>
      <c r="I100" s="395" t="str">
        <f>_Pat_Lengte&amp;" cm"</f>
        <v>0 cm</v>
      </c>
      <c r="J100" s="391"/>
      <c r="L100" s="401"/>
    </row>
    <row r="101" spans="1:12" ht="12.6" customHeight="1" x14ac:dyDescent="0.2">
      <c r="D101" s="391"/>
      <c r="F101" s="391"/>
      <c r="H101" s="400" t="s">
        <v>129</v>
      </c>
      <c r="I101" s="395" t="str">
        <f>ROUND(POWER(_Pat_Gewicht/10,0.425)*POWER(((_Pat_Lengte/100)*100),0.725)*0.007184,2)&amp;" m2"</f>
        <v>0 m2</v>
      </c>
      <c r="L101" s="401"/>
    </row>
    <row r="102" spans="1:12" ht="12.6" customHeight="1" x14ac:dyDescent="0.2">
      <c r="D102" s="391"/>
      <c r="F102" s="391"/>
      <c r="L102" s="401"/>
    </row>
    <row r="103" spans="1:12" ht="12.6" customHeight="1" x14ac:dyDescent="0.2">
      <c r="D103" s="391"/>
      <c r="F103" s="391"/>
      <c r="L103" s="401"/>
    </row>
    <row r="104" spans="1:12" ht="12.6" customHeight="1" x14ac:dyDescent="0.2">
      <c r="D104" s="391"/>
      <c r="F104" s="391"/>
      <c r="L104" s="401"/>
    </row>
    <row r="105" spans="1:12" ht="12.6" customHeight="1" x14ac:dyDescent="0.2">
      <c r="B105" s="405" t="s">
        <v>30</v>
      </c>
      <c r="C105" s="404"/>
      <c r="D105" s="417"/>
      <c r="E105" s="404"/>
      <c r="F105" s="405" t="e">
        <f>IF(Comfort,"Ja","Nee")</f>
        <v>#NAME?</v>
      </c>
      <c r="L105" s="401"/>
    </row>
    <row r="106" spans="1:12" ht="12.6" customHeight="1" x14ac:dyDescent="0.2">
      <c r="L106" s="401"/>
    </row>
    <row r="107" spans="1:12" ht="12.6" customHeight="1" x14ac:dyDescent="0.2">
      <c r="D107" s="428" t="s">
        <v>264</v>
      </c>
      <c r="G107" s="428" t="s">
        <v>123</v>
      </c>
      <c r="L107" s="401"/>
    </row>
    <row r="108" spans="1:12" ht="24.95" customHeight="1" x14ac:dyDescent="0.2">
      <c r="A108" s="900" t="s">
        <v>121</v>
      </c>
      <c r="B108" s="901"/>
      <c r="C108" s="429" t="s">
        <v>122</v>
      </c>
      <c r="D108" s="429" t="s">
        <v>124</v>
      </c>
      <c r="E108" s="900" t="s">
        <v>126</v>
      </c>
      <c r="F108" s="901"/>
      <c r="G108" s="429" t="s">
        <v>124</v>
      </c>
      <c r="H108" s="900" t="s">
        <v>125</v>
      </c>
      <c r="I108" s="901"/>
      <c r="J108" s="429" t="s">
        <v>236</v>
      </c>
      <c r="K108" s="394"/>
      <c r="L108" s="401"/>
    </row>
    <row r="109" spans="1:12" ht="20.100000000000001" customHeight="1" x14ac:dyDescent="0.2">
      <c r="A109" s="430"/>
      <c r="B109" s="431"/>
      <c r="C109" s="429"/>
      <c r="D109" s="429"/>
      <c r="E109" s="430"/>
      <c r="F109" s="431"/>
      <c r="G109" s="432"/>
      <c r="H109" s="430"/>
      <c r="I109" s="433"/>
      <c r="J109" s="429"/>
      <c r="K109" s="394"/>
      <c r="L109" s="401"/>
    </row>
    <row r="110" spans="1:12" ht="20.100000000000001" customHeight="1" x14ac:dyDescent="0.2">
      <c r="A110" s="430"/>
      <c r="B110" s="431"/>
      <c r="C110" s="429"/>
      <c r="D110" s="429"/>
      <c r="E110" s="430"/>
      <c r="F110" s="431"/>
      <c r="G110" s="432"/>
      <c r="H110" s="430"/>
      <c r="I110" s="433"/>
      <c r="J110" s="429"/>
      <c r="K110" s="394"/>
      <c r="L110" s="401"/>
    </row>
    <row r="111" spans="1:12" ht="20.100000000000001" customHeight="1" x14ac:dyDescent="0.2">
      <c r="A111" s="430"/>
      <c r="B111" s="431"/>
      <c r="C111" s="429"/>
      <c r="D111" s="429"/>
      <c r="E111" s="430"/>
      <c r="F111" s="431"/>
      <c r="G111" s="432"/>
      <c r="H111" s="430"/>
      <c r="I111" s="433"/>
      <c r="J111" s="429"/>
      <c r="K111" s="394"/>
      <c r="L111" s="401"/>
    </row>
    <row r="112" spans="1:12" ht="20.100000000000001" customHeight="1" x14ac:dyDescent="0.2">
      <c r="A112" s="430"/>
      <c r="B112" s="431"/>
      <c r="C112" s="429"/>
      <c r="D112" s="429"/>
      <c r="E112" s="430"/>
      <c r="F112" s="431"/>
      <c r="G112" s="432"/>
      <c r="H112" s="430"/>
      <c r="I112" s="433"/>
      <c r="J112" s="429"/>
      <c r="K112" s="394"/>
      <c r="L112" s="401"/>
    </row>
    <row r="113" spans="1:13" ht="20.100000000000001" customHeight="1" x14ac:dyDescent="0.2">
      <c r="A113" s="430"/>
      <c r="B113" s="431"/>
      <c r="C113" s="429"/>
      <c r="D113" s="429"/>
      <c r="E113" s="430"/>
      <c r="F113" s="431"/>
      <c r="G113" s="432"/>
      <c r="H113" s="430"/>
      <c r="I113" s="433"/>
      <c r="J113" s="429"/>
      <c r="K113" s="394"/>
      <c r="L113" s="401"/>
    </row>
    <row r="114" spans="1:13" ht="20.100000000000001" customHeight="1" x14ac:dyDescent="0.2">
      <c r="A114" s="430"/>
      <c r="B114" s="431"/>
      <c r="C114" s="429"/>
      <c r="D114" s="429"/>
      <c r="E114" s="430"/>
      <c r="F114" s="431"/>
      <c r="G114" s="432"/>
      <c r="H114" s="430"/>
      <c r="I114" s="433"/>
      <c r="J114" s="429"/>
      <c r="K114" s="394"/>
      <c r="L114" s="401"/>
    </row>
    <row r="115" spans="1:13" ht="20.100000000000001" customHeight="1" x14ac:dyDescent="0.2">
      <c r="A115" s="430"/>
      <c r="B115" s="431"/>
      <c r="C115" s="429"/>
      <c r="D115" s="429"/>
      <c r="E115" s="430"/>
      <c r="F115" s="431"/>
      <c r="G115" s="432"/>
      <c r="H115" s="430"/>
      <c r="I115" s="433"/>
      <c r="J115" s="429"/>
      <c r="K115" s="394"/>
      <c r="L115" s="401"/>
    </row>
    <row r="116" spans="1:13" ht="20.100000000000001" customHeight="1" x14ac:dyDescent="0.2">
      <c r="A116" s="430"/>
      <c r="B116" s="431"/>
      <c r="C116" s="429"/>
      <c r="D116" s="429"/>
      <c r="E116" s="430"/>
      <c r="F116" s="431"/>
      <c r="G116" s="432"/>
      <c r="H116" s="430"/>
      <c r="I116" s="433"/>
      <c r="J116" s="429"/>
      <c r="K116" s="394"/>
      <c r="L116" s="401"/>
    </row>
    <row r="117" spans="1:13" ht="20.100000000000001" customHeight="1" x14ac:dyDescent="0.2">
      <c r="A117" s="430"/>
      <c r="B117" s="431"/>
      <c r="C117" s="429"/>
      <c r="D117" s="429"/>
      <c r="E117" s="430"/>
      <c r="F117" s="431"/>
      <c r="G117" s="432"/>
      <c r="H117" s="430"/>
      <c r="I117" s="433"/>
      <c r="J117" s="429"/>
      <c r="K117" s="394"/>
      <c r="L117" s="401"/>
    </row>
    <row r="118" spans="1:13" ht="20.100000000000001" customHeight="1" x14ac:dyDescent="0.2">
      <c r="A118" s="430"/>
      <c r="B118" s="431"/>
      <c r="C118" s="429"/>
      <c r="D118" s="429"/>
      <c r="E118" s="430"/>
      <c r="F118" s="431"/>
      <c r="G118" s="432"/>
      <c r="H118" s="430"/>
      <c r="I118" s="433"/>
      <c r="J118" s="429"/>
      <c r="K118" s="13"/>
      <c r="L118" s="401"/>
      <c r="M118" s="396"/>
    </row>
    <row r="119" spans="1:13" ht="20.100000000000001" customHeight="1" x14ac:dyDescent="0.2">
      <c r="A119" s="430"/>
      <c r="B119" s="431"/>
      <c r="C119" s="429"/>
      <c r="D119" s="429"/>
      <c r="E119" s="430"/>
      <c r="F119" s="431"/>
      <c r="G119" s="432"/>
      <c r="H119" s="430"/>
      <c r="I119" s="433"/>
      <c r="J119" s="429"/>
      <c r="K119" s="13"/>
      <c r="L119" s="401"/>
      <c r="M119" s="396"/>
    </row>
    <row r="120" spans="1:13" ht="20.100000000000001" customHeight="1" x14ac:dyDescent="0.2">
      <c r="A120" s="430"/>
      <c r="B120" s="431"/>
      <c r="C120" s="429"/>
      <c r="D120" s="429"/>
      <c r="E120" s="430"/>
      <c r="F120" s="431"/>
      <c r="G120" s="432"/>
      <c r="H120" s="430"/>
      <c r="I120" s="433"/>
      <c r="J120" s="429"/>
      <c r="K120" s="13"/>
      <c r="L120" s="401"/>
      <c r="M120" s="396"/>
    </row>
    <row r="121" spans="1:13" ht="20.100000000000001" customHeight="1" x14ac:dyDescent="0.2">
      <c r="A121" s="430"/>
      <c r="B121" s="431"/>
      <c r="C121" s="429"/>
      <c r="D121" s="429"/>
      <c r="E121" s="430"/>
      <c r="F121" s="431"/>
      <c r="G121" s="432"/>
      <c r="H121" s="430"/>
      <c r="I121" s="433"/>
      <c r="J121" s="429"/>
      <c r="K121" s="13"/>
      <c r="L121" s="401"/>
      <c r="M121" s="396"/>
    </row>
    <row r="122" spans="1:13" ht="20.100000000000001" customHeight="1" x14ac:dyDescent="0.2">
      <c r="A122" s="430"/>
      <c r="B122" s="431"/>
      <c r="C122" s="429"/>
      <c r="D122" s="429"/>
      <c r="E122" s="430"/>
      <c r="F122" s="431"/>
      <c r="G122" s="432"/>
      <c r="H122" s="430"/>
      <c r="I122" s="433"/>
      <c r="J122" s="429"/>
      <c r="K122" s="13"/>
      <c r="L122" s="401"/>
      <c r="M122" s="396"/>
    </row>
    <row r="123" spans="1:13" ht="20.100000000000001" customHeight="1" x14ac:dyDescent="0.2">
      <c r="A123" s="430"/>
      <c r="B123" s="431"/>
      <c r="C123" s="429"/>
      <c r="D123" s="429"/>
      <c r="E123" s="430"/>
      <c r="F123" s="431"/>
      <c r="G123" s="432"/>
      <c r="H123" s="430"/>
      <c r="I123" s="433"/>
      <c r="J123" s="429"/>
      <c r="K123" s="13"/>
      <c r="L123" s="401"/>
      <c r="M123" s="396"/>
    </row>
    <row r="124" spans="1:13" ht="20.100000000000001" customHeight="1" x14ac:dyDescent="0.2">
      <c r="A124" s="430"/>
      <c r="B124" s="431"/>
      <c r="C124" s="429"/>
      <c r="D124" s="429"/>
      <c r="E124" s="430"/>
      <c r="F124" s="431"/>
      <c r="G124" s="432"/>
      <c r="H124" s="430"/>
      <c r="I124" s="433"/>
      <c r="J124" s="429"/>
      <c r="K124" s="13"/>
      <c r="L124" s="401"/>
      <c r="M124" s="396"/>
    </row>
    <row r="125" spans="1:13" ht="20.100000000000001" customHeight="1" x14ac:dyDescent="0.2">
      <c r="A125" s="430"/>
      <c r="B125" s="431"/>
      <c r="C125" s="429"/>
      <c r="D125" s="429"/>
      <c r="E125" s="430"/>
      <c r="F125" s="431"/>
      <c r="G125" s="432"/>
      <c r="H125" s="430"/>
      <c r="I125" s="433"/>
      <c r="J125" s="429"/>
      <c r="K125" s="13"/>
      <c r="L125" s="401"/>
      <c r="M125" s="396"/>
    </row>
    <row r="126" spans="1:13" ht="30" customHeight="1" x14ac:dyDescent="0.2">
      <c r="A126" s="434" t="s">
        <v>127</v>
      </c>
      <c r="B126" s="435"/>
      <c r="C126" s="434"/>
      <c r="D126" s="434"/>
      <c r="E126" s="434"/>
      <c r="F126" s="435"/>
      <c r="G126" s="435"/>
      <c r="H126" s="434"/>
      <c r="I126" s="434"/>
      <c r="J126" s="434"/>
      <c r="K126" s="13"/>
      <c r="L126" s="401"/>
      <c r="M126" s="396"/>
    </row>
    <row r="127" spans="1:13" ht="30" customHeight="1" x14ac:dyDescent="0.2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396"/>
    </row>
    <row r="128" spans="1:13" ht="30" customHeight="1" x14ac:dyDescent="0.2">
      <c r="A128" s="13"/>
      <c r="B128" s="13"/>
      <c r="C128" s="416"/>
      <c r="D128" s="415"/>
      <c r="E128" s="415"/>
      <c r="F128" s="415"/>
      <c r="G128" s="13"/>
      <c r="H128" s="13"/>
      <c r="I128" s="13"/>
      <c r="J128" s="13"/>
      <c r="K128" s="13"/>
      <c r="L128" s="13"/>
      <c r="M128" s="396"/>
    </row>
    <row r="129" spans="1:13" ht="30" customHeight="1" x14ac:dyDescent="0.2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396"/>
    </row>
    <row r="130" spans="1:13" ht="30" customHeight="1" x14ac:dyDescent="0.2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396"/>
    </row>
    <row r="131" spans="1:13" ht="30" customHeight="1" x14ac:dyDescent="0.2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396"/>
    </row>
    <row r="132" spans="1:13" ht="30" customHeight="1" x14ac:dyDescent="0.2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396"/>
    </row>
    <row r="133" spans="1:13" ht="30" customHeight="1" x14ac:dyDescent="0.2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396"/>
    </row>
    <row r="134" spans="1:13" ht="30" customHeight="1" x14ac:dyDescent="0.2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3" ht="30" customHeight="1" x14ac:dyDescent="0.2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3" ht="30" customHeight="1" x14ac:dyDescent="0.2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3" ht="30" customHeight="1" x14ac:dyDescent="0.2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3" ht="30" customHeight="1" x14ac:dyDescent="0.2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3" ht="30" customHeight="1" x14ac:dyDescent="0.2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3" ht="30" customHeight="1" x14ac:dyDescent="0.2">
      <c r="B140" s="395"/>
      <c r="L140" s="401"/>
    </row>
    <row r="141" spans="1:13" ht="30" customHeight="1" x14ac:dyDescent="0.2">
      <c r="B141" s="395"/>
      <c r="L141" s="401"/>
    </row>
    <row r="142" spans="1:13" ht="30" customHeight="1" x14ac:dyDescent="0.2">
      <c r="B142" s="395"/>
      <c r="L142" s="401"/>
    </row>
    <row r="143" spans="1:13" ht="30" customHeight="1" x14ac:dyDescent="0.2">
      <c r="B143" s="395"/>
      <c r="L143" s="401"/>
    </row>
    <row r="144" spans="1:13" ht="30" customHeight="1" x14ac:dyDescent="0.2">
      <c r="B144" s="395"/>
      <c r="L144" s="401"/>
    </row>
    <row r="145" spans="2:12" ht="30" customHeight="1" x14ac:dyDescent="0.2">
      <c r="B145" s="395"/>
      <c r="L145" s="401"/>
    </row>
    <row r="146" spans="2:12" ht="30" customHeight="1" x14ac:dyDescent="0.2">
      <c r="B146" s="395"/>
      <c r="L146" s="401"/>
    </row>
    <row r="147" spans="2:12" ht="30" customHeight="1" x14ac:dyDescent="0.2">
      <c r="B147" s="395"/>
      <c r="L147" s="401"/>
    </row>
    <row r="148" spans="2:12" ht="30" customHeight="1" x14ac:dyDescent="0.2">
      <c r="B148" s="395"/>
      <c r="L148" s="401"/>
    </row>
    <row r="149" spans="2:12" ht="30" customHeight="1" x14ac:dyDescent="0.2">
      <c r="B149" s="395"/>
      <c r="L149" s="401"/>
    </row>
    <row r="150" spans="2:12" ht="11.25" x14ac:dyDescent="0.2">
      <c r="B150" s="395"/>
      <c r="L150" s="401"/>
    </row>
    <row r="151" spans="2:12" ht="11.25" x14ac:dyDescent="0.2">
      <c r="B151" s="395"/>
      <c r="L151" s="401"/>
    </row>
    <row r="152" spans="2:12" ht="11.25" x14ac:dyDescent="0.2">
      <c r="B152" s="395"/>
      <c r="L152" s="401"/>
    </row>
    <row r="153" spans="2:12" ht="11.25" x14ac:dyDescent="0.2">
      <c r="B153" s="395"/>
      <c r="L153" s="401"/>
    </row>
    <row r="154" spans="2:12" ht="11.25" x14ac:dyDescent="0.2">
      <c r="B154" s="395"/>
      <c r="L154" s="401"/>
    </row>
    <row r="155" spans="2:12" ht="12.6" customHeight="1" x14ac:dyDescent="0.2">
      <c r="B155" s="395"/>
      <c r="L155" s="401"/>
    </row>
    <row r="156" spans="2:12" ht="12.6" customHeight="1" x14ac:dyDescent="0.2">
      <c r="B156" s="395"/>
      <c r="L156" s="401"/>
    </row>
    <row r="157" spans="2:12" ht="12.6" customHeight="1" x14ac:dyDescent="0.2">
      <c r="B157" s="395"/>
      <c r="L157" s="401" t="str">
        <f>IF(C24=0,"D","")</f>
        <v/>
      </c>
    </row>
    <row r="158" spans="2:12" ht="12.6" customHeight="1" x14ac:dyDescent="0.2">
      <c r="B158" s="395"/>
      <c r="L158" s="401" t="str">
        <f>IF(C25=0,"D","")</f>
        <v/>
      </c>
    </row>
    <row r="159" spans="2:12" ht="12.6" customHeight="1" x14ac:dyDescent="0.2">
      <c r="B159" s="395"/>
      <c r="L159" s="401" t="str">
        <f>IF(C26=0,"D","")</f>
        <v/>
      </c>
    </row>
    <row r="160" spans="2:12" ht="12.6" customHeight="1" x14ac:dyDescent="0.2">
      <c r="B160" s="395"/>
      <c r="L160" s="401" t="str">
        <f>IF(C27=0,"D","")</f>
        <v/>
      </c>
    </row>
    <row r="161" spans="2:12" ht="12.6" customHeight="1" x14ac:dyDescent="0.2">
      <c r="B161" s="395"/>
      <c r="L161" s="401" t="e">
        <f>IF(#REF!=0,"D","")</f>
        <v>#REF!</v>
      </c>
    </row>
    <row r="162" spans="2:12" ht="12.6" customHeight="1" x14ac:dyDescent="0.2">
      <c r="B162" s="395"/>
      <c r="L162" s="401" t="e">
        <f>IF(#REF!=0,"D","")</f>
        <v>#REF!</v>
      </c>
    </row>
    <row r="163" spans="2:12" ht="12.6" customHeight="1" x14ac:dyDescent="0.2">
      <c r="B163" s="395"/>
      <c r="L163" s="401"/>
    </row>
    <row r="164" spans="2:12" ht="12.6" customHeight="1" x14ac:dyDescent="0.2">
      <c r="B164" s="395"/>
      <c r="L164" s="401"/>
    </row>
    <row r="165" spans="2:12" ht="12.6" customHeight="1" x14ac:dyDescent="0.2">
      <c r="B165" s="395"/>
      <c r="L165" s="401"/>
    </row>
    <row r="166" spans="2:12" ht="12.6" customHeight="1" x14ac:dyDescent="0.2">
      <c r="L166" s="401"/>
    </row>
    <row r="167" spans="2:12" ht="12.6" customHeight="1" x14ac:dyDescent="0.2">
      <c r="L167" s="401"/>
    </row>
    <row r="168" spans="2:12" ht="12.6" customHeight="1" x14ac:dyDescent="0.2">
      <c r="L168" s="401"/>
    </row>
    <row r="169" spans="2:12" ht="12.6" customHeight="1" x14ac:dyDescent="0.2">
      <c r="L169" s="401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sheetProtection password="CC20" sheet="1" objects="1" scenario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8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3" customWidth="1"/>
    <col min="24" max="33" width="2.7109375" customWidth="1"/>
  </cols>
  <sheetData>
    <row r="1" spans="1:33" ht="19.5" customHeight="1" thickBot="1" x14ac:dyDescent="0.25">
      <c r="A1" s="352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904">
        <f>__4_GebDatum</f>
        <v>1462</v>
      </c>
      <c r="G1" s="904"/>
      <c r="I1" s="6" t="str">
        <f>"Gewicht: "&amp;ROUND(_Pat_Gewicht/10,1)&amp;"kg"</f>
        <v>Gewicht: 0kg</v>
      </c>
      <c r="P1" s="6" t="s">
        <v>180</v>
      </c>
      <c r="R1" s="902"/>
      <c r="S1" s="902"/>
      <c r="T1" s="902"/>
      <c r="U1" s="902"/>
      <c r="V1" s="902"/>
      <c r="W1" s="902"/>
      <c r="Y1" t="s">
        <v>297</v>
      </c>
      <c r="AB1" s="903">
        <f ca="1">TODAY()</f>
        <v>42751</v>
      </c>
      <c r="AC1" s="903"/>
      <c r="AD1" s="903"/>
      <c r="AE1" s="903"/>
      <c r="AF1" s="903"/>
    </row>
    <row r="2" spans="1:33" ht="26.1" customHeight="1" x14ac:dyDescent="0.2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10</v>
      </c>
      <c r="I2" s="90">
        <v>11</v>
      </c>
      <c r="J2" s="90">
        <v>12</v>
      </c>
      <c r="K2" s="90">
        <v>13</v>
      </c>
      <c r="L2" s="90">
        <v>14</v>
      </c>
      <c r="M2" s="90">
        <v>15</v>
      </c>
      <c r="N2" s="90">
        <v>16</v>
      </c>
      <c r="O2" s="90">
        <v>17</v>
      </c>
      <c r="P2" s="90">
        <v>18</v>
      </c>
      <c r="Q2" s="90">
        <v>19</v>
      </c>
      <c r="R2" s="91">
        <v>20</v>
      </c>
      <c r="S2" s="91">
        <v>21</v>
      </c>
      <c r="T2" s="91">
        <v>22</v>
      </c>
      <c r="U2" s="91">
        <v>23</v>
      </c>
      <c r="V2" s="91">
        <v>24</v>
      </c>
      <c r="W2" s="91">
        <v>1</v>
      </c>
      <c r="X2" s="90">
        <v>2</v>
      </c>
      <c r="Y2" s="90">
        <v>3</v>
      </c>
      <c r="Z2" s="90">
        <v>4</v>
      </c>
      <c r="AA2" s="90">
        <v>5</v>
      </c>
      <c r="AB2" s="90">
        <v>6</v>
      </c>
      <c r="AC2" s="90">
        <v>7</v>
      </c>
      <c r="AD2" s="90">
        <v>8</v>
      </c>
      <c r="AE2" s="92"/>
      <c r="AF2" s="92"/>
      <c r="AG2" s="92"/>
    </row>
    <row r="3" spans="1:33" ht="26.1" customHeight="1" x14ac:dyDescent="0.2">
      <c r="B3" s="94"/>
      <c r="C3" s="125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26" t="str">
        <f>IF(GlobGuiMedDisc!I9&lt;&gt;"",GlobGuiMedDisc!I9,"")</f>
        <v/>
      </c>
      <c r="E3" s="127" t="str">
        <f>IF(AND(D3&lt;&gt;"",D3&lt;&gt;"STOP"),GlobBerMedDisc!H2&amp;" "&amp;GlobBerMedDisc!F2,"")</f>
        <v/>
      </c>
      <c r="F3" s="127" t="str">
        <f>IF(AND(D3&lt;&gt;"",D3&lt;&gt;"STOP"),GlobBerMedDisc!L2," ")</f>
        <v xml:space="preserve"> </v>
      </c>
      <c r="G3" s="127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dd",$D3="6 dd",$D3="8 dd",$D3="12 dd",$D3="an",$D3="1 X"),VLOOKUP($D3,PedTblTijden!$A$16:$X$26,PedTblTijden!B$14,FALSE),"")</f>
        <v/>
      </c>
      <c r="I3" s="12" t="str">
        <f>IF(OR($D3="1 dd",$D3="2 dd",$D3="3 dd",$D3="4 dd",$D3="6 dd",$D3="8 dd",$D3="12 dd",$D3="an",$D3="1 X"),VLOOKUP($D3,PedTblTijden!$A$16:$X$26,PedTblTijden!C$14,FALSE),"")</f>
        <v/>
      </c>
      <c r="J3" s="93" t="str">
        <f>IF(OR($D3="1 dd",$D3="2 dd",$D3="3 dd",$D3="4 dd",$D3="6 dd",$D3="8 dd",$D3="12 dd",$D3="an",$D3="1 X"),VLOOKUP($D3,PedTblTijden!$A$16:$X$26,PedTblTijden!D$14,FALSE),"")</f>
        <v/>
      </c>
      <c r="K3" s="12" t="str">
        <f>IF(OR($D3="1 dd",$D3="2 dd",$D3="3 dd",$D3="4 dd",$D3="6 dd",$D3="8 dd",$D3="12 dd",$D3="an",$D3="1 X"),VLOOKUP($D3,PedTblTijden!$A$16:$X$26,PedTblTijden!E$14,FALSE),"")</f>
        <v/>
      </c>
      <c r="L3" s="93" t="str">
        <f>IF(OR($D3="1 dd",$D3="2 dd",$D3="3 dd",$D3="4 dd",$D3="6 dd",$D3="8 dd",$D3="12 dd",$D3="an",$D3="1 X"),VLOOKUP($D3,PedTblTijden!$A$16:$X$26,PedTblTijden!F$14,FALSE),"")</f>
        <v/>
      </c>
      <c r="M3" s="12" t="str">
        <f>IF(OR($D3="1 dd",$D3="2 dd",$D3="3 dd",$D3="4 dd",$D3="6 dd",$D3="8 dd",$D3="12 dd",$D3="an",$D3="1 X"),VLOOKUP($D3,PedTblTijden!$A$16:$X$26,PedTblTijden!G$14,FALSE),"")</f>
        <v/>
      </c>
      <c r="N3" s="93" t="str">
        <f>IF(OR($D3="1 dd",$D3="2 dd",$D3="3 dd",$D3="4 dd",$D3="6 dd",$D3="8 dd",$D3="12 dd",$D3="an",$D3="1 X"),VLOOKUP($D3,PedTblTijden!$A$16:$X$26,PedTblTijden!H$14,FALSE),"")</f>
        <v/>
      </c>
      <c r="O3" s="12" t="str">
        <f>IF(OR($D3="1 dd",$D3="2 dd",$D3="3 dd",$D3="4 dd",$D3="6 dd",$D3="8 dd",$D3="12 dd",$D3="an",$D3="1 X"),VLOOKUP($D3,PedTblTijden!$A$16:$X$26,PedTblTijden!I$14,FALSE),"")</f>
        <v/>
      </c>
      <c r="P3" s="93" t="str">
        <f>IF(OR($D3="1 dd",$D3="2 dd",$D3="3 dd",$D3="4 dd",$D3="6 dd",$D3="8 dd",$D3="12 dd",$D3="an",$D3="1 X"),VLOOKUP($D3,PedTblTijden!$A$16:$X$26,PedTblTijden!J$14,FALSE),"")</f>
        <v/>
      </c>
      <c r="Q3" s="12" t="str">
        <f>IF(OR($D3="1 dd",$D3="2 dd",$D3="3 dd",$D3="4 dd",$D3="6 dd",$D3="8 dd",$D3="12 dd",$D3="an",$D3="1 X"),VLOOKUP($D3,PedTblTijden!$A$16:$X$26,PedTblTijden!K$14,FALSE),"")</f>
        <v/>
      </c>
      <c r="R3" s="93" t="str">
        <f>IF(OR($D3="1 dd",$D3="2 dd",$D3="3 dd",$D3="4 dd",$D3="6 dd",$D3="8 dd",$D3="12 dd",$D3="an",$D3="1 X"),VLOOKUP($D3,PedTblTijden!$A$16:$X$26,PedTblTijden!L$14,FALSE),"")</f>
        <v/>
      </c>
      <c r="S3" s="12" t="str">
        <f>IF(OR($D3="1 dd",$D3="2 dd",$D3="3 dd",$D3="4 dd",$D3="6 dd",$D3="8 dd",$D3="12 dd",$D3="an",$D3="1 X"),VLOOKUP($D3,PedTblTijden!$A$16:$X$26,PedTblTijden!M$14,FALSE),"")</f>
        <v/>
      </c>
      <c r="T3" s="93" t="str">
        <f>IF(OR($D3="1 dd",$D3="2 dd",$D3="3 dd",$D3="4 dd",$D3="6 dd",$D3="8 dd",$D3="12 dd",$D3="an",$D3="1 X"),VLOOKUP($D3,PedTblTijden!$A$16:$X$26,PedTblTijden!N$14,FALSE),"")</f>
        <v/>
      </c>
      <c r="U3" s="12" t="str">
        <f>IF(OR($D3="1 dd",$D3="2 dd",$D3="3 dd",$D3="4 dd",$D3="6 dd",$D3="8 dd",$D3="12 dd",$D3="an",$D3="1 X"),VLOOKUP($D3,PedTblTijden!$A$16:$X$26,PedTblTijden!O$14,FALSE),"")</f>
        <v/>
      </c>
      <c r="V3" s="93" t="str">
        <f>IF(OR($D3="1 dd",$D3="2 dd",$D3="3 dd",$D3="4 dd",$D3="6 dd",$D3="8 dd",$D3="12 dd",$D3="an",$D3="1 X"),VLOOKUP($D3,PedTblTijden!$A$16:$X$26,PedTblTijden!P$14,FALSE),"")</f>
        <v/>
      </c>
      <c r="W3" s="12" t="str">
        <f>IF(OR($D3="1 dd",$D3="2 dd",$D3="3 dd",$D3="4 dd",$D3="6 dd",$D3="8 dd",$D3="12 dd",$D3="an",$D3="1 X"),VLOOKUP($D3,PedTblTijden!$A$16:$X$26,PedTblTijden!Q$14,FALSE),"")</f>
        <v/>
      </c>
      <c r="X3" s="93" t="str">
        <f>IF(OR($D3="1 dd",$D3="2 dd",$D3="3 dd",$D3="4 dd",$D3="6 dd",$D3="8 dd",$D3="12 dd",$D3="an",$D3="1 X"),VLOOKUP($D3,PedTblTijden!$A$16:$X$26,PedTblTijden!R$14,FALSE),"")</f>
        <v/>
      </c>
      <c r="Y3" s="12" t="str">
        <f>IF(OR($D3="1 dd",$D3="2 dd",$D3="3 dd",$D3="4 dd",$D3="6 dd",$D3="8 dd",$D3="12 dd",$D3="an",$D3="1 X"),VLOOKUP($D3,PedTblTijden!$A$16:$X$26,PedTblTijden!S$14,FALSE),"")</f>
        <v/>
      </c>
      <c r="Z3" s="93" t="str">
        <f>IF(OR($D3="1 dd",$D3="2 dd",$D3="3 dd",$D3="4 dd",$D3="6 dd",$D3="8 dd",$D3="12 dd",$D3="an",$D3="1 X"),VLOOKUP($D3,PedTblTijden!$A$16:$X$26,PedTblTijden!T$14,FALSE),"")</f>
        <v/>
      </c>
      <c r="AA3" s="12" t="str">
        <f>IF(OR($D3="1 dd",$D3="2 dd",$D3="3 dd",$D3="4 dd",$D3="6 dd",$D3="8 dd",$D3="12 dd",$D3="an",$D3="1 X"),VLOOKUP($D3,PedTblTijden!$A$16:$X$26,PedTblTijden!U$14,FALSE),"")</f>
        <v/>
      </c>
      <c r="AB3" s="93" t="str">
        <f>IF(OR($D3="1 dd",$D3="2 dd",$D3="3 dd",$D3="4 dd",$D3="6 dd",$D3="8 dd",$D3="12 dd",$D3="an",$D3="1 X"),VLOOKUP($D3,PedTblTijden!$A$16:$X$26,PedTblTijden!V$14,FALSE),"")</f>
        <v/>
      </c>
      <c r="AC3" s="12" t="str">
        <f>IF(OR($D3="1 dd",$D3="2 dd",$D3="3 dd",$D3="4 dd",$D3="6 dd",$D3="8 dd",$D3="12 dd",$D3="an",$D3="1 X"),VLOOKUP($D3,PedTblTijden!$A$16:$X$26,PedTblTijden!W$14,FALSE),"")</f>
        <v/>
      </c>
      <c r="AD3" s="93" t="str">
        <f>IF(OR($D3="1 dd",$D3="2 dd",$D3="3 dd",$D3="4 dd",$D3="6 dd",$D3="8 dd",$D3="12 dd",$D3="an",$D3="1 X"),VLOOKUP($D3,PedTblTijden!$A$16:$X$26,PedTblTijden!X$14,FALSE),"")</f>
        <v/>
      </c>
      <c r="AE3" s="14"/>
      <c r="AF3" s="92"/>
      <c r="AG3" s="14"/>
    </row>
    <row r="4" spans="1:33" ht="26.1" customHeight="1" x14ac:dyDescent="0.2">
      <c r="B4" s="94"/>
      <c r="C4" s="125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26" t="str">
        <f>IF(GlobGuiMedDisc!I10&lt;&gt;"",GlobGuiMedDisc!I10,"")</f>
        <v/>
      </c>
      <c r="E4" s="127" t="str">
        <f>IF(AND(D4&lt;&gt;"",D4&lt;&gt;"STOP"),GlobBerMedDisc!H3&amp;" "&amp;GlobBerMedDisc!F3,"")</f>
        <v/>
      </c>
      <c r="F4" s="127" t="str">
        <f>IF(AND(D4&lt;&gt;"",D4&lt;&gt;"STOP"),GlobBerMedDisc!L3," ")</f>
        <v xml:space="preserve"> </v>
      </c>
      <c r="G4" s="127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dd",$D4="6 dd",$D4="8 dd",$D4="12 dd",$D4="an",$D4="1 X"),VLOOKUP($D4,PedTblTijden!$A$16:$X$26,PedTblTijden!B$14,FALSE),"")</f>
        <v/>
      </c>
      <c r="I4" s="12" t="str">
        <f>IF(OR($D4="1 dd",$D4="2 dd",$D4="3 dd",$D4="4 dd",$D4="6 dd",$D4="8 dd",$D4="12 dd",$D4="an",$D4="1 X"),VLOOKUP($D4,PedTblTijden!$A$16:$X$26,PedTblTijden!C$14,FALSE),"")</f>
        <v/>
      </c>
      <c r="J4" s="93" t="str">
        <f>IF(OR($D4="1 dd",$D4="2 dd",$D4="3 dd",$D4="4 dd",$D4="6 dd",$D4="8 dd",$D4="12 dd",$D4="an",$D4="1 X"),VLOOKUP($D4,PedTblTijden!$A$16:$X$26,PedTblTijden!D$14,FALSE),"")</f>
        <v/>
      </c>
      <c r="K4" s="12" t="str">
        <f>IF(OR($D4="1 dd",$D4="2 dd",$D4="3 dd",$D4="4 dd",$D4="6 dd",$D4="8 dd",$D4="12 dd",$D4="an",$D4="1 X"),VLOOKUP($D4,PedTblTijden!$A$16:$X$26,PedTblTijden!E$14,FALSE),"")</f>
        <v/>
      </c>
      <c r="L4" s="93" t="str">
        <f>IF(OR($D4="1 dd",$D4="2 dd",$D4="3 dd",$D4="4 dd",$D4="6 dd",$D4="8 dd",$D4="12 dd",$D4="an",$D4="1 X"),VLOOKUP($D4,PedTblTijden!$A$16:$X$26,PedTblTijden!F$14,FALSE),"")</f>
        <v/>
      </c>
      <c r="M4" s="12" t="str">
        <f>IF(OR($D4="1 dd",$D4="2 dd",$D4="3 dd",$D4="4 dd",$D4="6 dd",$D4="8 dd",$D4="12 dd",$D4="an",$D4="1 X"),VLOOKUP($D4,PedTblTijden!$A$16:$X$26,PedTblTijden!G$14,FALSE),"")</f>
        <v/>
      </c>
      <c r="N4" s="93" t="str">
        <f>IF(OR($D4="1 dd",$D4="2 dd",$D4="3 dd",$D4="4 dd",$D4="6 dd",$D4="8 dd",$D4="12 dd",$D4="an",$D4="1 X"),VLOOKUP($D4,PedTblTijden!$A$16:$X$26,PedTblTijden!H$14,FALSE),"")</f>
        <v/>
      </c>
      <c r="O4" s="12" t="str">
        <f>IF(OR($D4="1 dd",$D4="2 dd",$D4="3 dd",$D4="4 dd",$D4="6 dd",$D4="8 dd",$D4="12 dd",$D4="an",$D4="1 X"),VLOOKUP($D4,PedTblTijden!$A$16:$X$26,PedTblTijden!I$14,FALSE),"")</f>
        <v/>
      </c>
      <c r="P4" s="93" t="str">
        <f>IF(OR($D4="1 dd",$D4="2 dd",$D4="3 dd",$D4="4 dd",$D4="6 dd",$D4="8 dd",$D4="12 dd",$D4="an",$D4="1 X"),VLOOKUP($D4,PedTblTijden!$A$16:$X$26,PedTblTijden!J$14,FALSE),"")</f>
        <v/>
      </c>
      <c r="Q4" s="12" t="str">
        <f>IF(OR($D4="1 dd",$D4="2 dd",$D4="3 dd",$D4="4 dd",$D4="6 dd",$D4="8 dd",$D4="12 dd",$D4="an",$D4="1 X"),VLOOKUP($D4,PedTblTijden!$A$16:$X$26,PedTblTijden!K$14,FALSE),"")</f>
        <v/>
      </c>
      <c r="R4" s="93" t="str">
        <f>IF(OR($D4="1 dd",$D4="2 dd",$D4="3 dd",$D4="4 dd",$D4="6 dd",$D4="8 dd",$D4="12 dd",$D4="an",$D4="1 X"),VLOOKUP($D4,PedTblTijden!$A$16:$X$26,PedTblTijden!L$14,FALSE),"")</f>
        <v/>
      </c>
      <c r="S4" s="12" t="str">
        <f>IF(OR($D4="1 dd",$D4="2 dd",$D4="3 dd",$D4="4 dd",$D4="6 dd",$D4="8 dd",$D4="12 dd",$D4="an",$D4="1 X"),VLOOKUP($D4,PedTblTijden!$A$16:$X$26,PedTblTijden!M$14,FALSE),"")</f>
        <v/>
      </c>
      <c r="T4" s="93" t="str">
        <f>IF(OR($D4="1 dd",$D4="2 dd",$D4="3 dd",$D4="4 dd",$D4="6 dd",$D4="8 dd",$D4="12 dd",$D4="an",$D4="1 X"),VLOOKUP($D4,PedTblTijden!$A$16:$X$26,PedTblTijden!N$14,FALSE),"")</f>
        <v/>
      </c>
      <c r="U4" s="12" t="str">
        <f>IF(OR($D4="1 dd",$D4="2 dd",$D4="3 dd",$D4="4 dd",$D4="6 dd",$D4="8 dd",$D4="12 dd",$D4="an",$D4="1 X"),VLOOKUP($D4,PedTblTijden!$A$16:$X$26,PedTblTijden!O$14,FALSE),"")</f>
        <v/>
      </c>
      <c r="V4" s="93" t="str">
        <f>IF(OR($D4="1 dd",$D4="2 dd",$D4="3 dd",$D4="4 dd",$D4="6 dd",$D4="8 dd",$D4="12 dd",$D4="an",$D4="1 X"),VLOOKUP($D4,PedTblTijden!$A$16:$X$26,PedTblTijden!P$14,FALSE),"")</f>
        <v/>
      </c>
      <c r="W4" s="12" t="str">
        <f>IF(OR($D4="1 dd",$D4="2 dd",$D4="3 dd",$D4="4 dd",$D4="6 dd",$D4="8 dd",$D4="12 dd",$D4="an",$D4="1 X"),VLOOKUP($D4,PedTblTijden!$A$16:$X$26,PedTblTijden!Q$14,FALSE),"")</f>
        <v/>
      </c>
      <c r="X4" s="93" t="str">
        <f>IF(OR($D4="1 dd",$D4="2 dd",$D4="3 dd",$D4="4 dd",$D4="6 dd",$D4="8 dd",$D4="12 dd",$D4="an",$D4="1 X"),VLOOKUP($D4,PedTblTijden!$A$16:$X$26,PedTblTijden!R$14,FALSE),"")</f>
        <v/>
      </c>
      <c r="Y4" s="12" t="str">
        <f>IF(OR($D4="1 dd",$D4="2 dd",$D4="3 dd",$D4="4 dd",$D4="6 dd",$D4="8 dd",$D4="12 dd",$D4="an",$D4="1 X"),VLOOKUP($D4,PedTblTijden!$A$16:$X$26,PedTblTijden!S$14,FALSE),"")</f>
        <v/>
      </c>
      <c r="Z4" s="93" t="str">
        <f>IF(OR($D4="1 dd",$D4="2 dd",$D4="3 dd",$D4="4 dd",$D4="6 dd",$D4="8 dd",$D4="12 dd",$D4="an",$D4="1 X"),VLOOKUP($D4,PedTblTijden!$A$16:$X$26,PedTblTijden!T$14,FALSE),"")</f>
        <v/>
      </c>
      <c r="AA4" s="12" t="str">
        <f>IF(OR($D4="1 dd",$D4="2 dd",$D4="3 dd",$D4="4 dd",$D4="6 dd",$D4="8 dd",$D4="12 dd",$D4="an",$D4="1 X"),VLOOKUP($D4,PedTblTijden!$A$16:$X$26,PedTblTijden!U$14,FALSE),"")</f>
        <v/>
      </c>
      <c r="AB4" s="93" t="str">
        <f>IF(OR($D4="1 dd",$D4="2 dd",$D4="3 dd",$D4="4 dd",$D4="6 dd",$D4="8 dd",$D4="12 dd",$D4="an",$D4="1 X"),VLOOKUP($D4,PedTblTijden!$A$16:$X$26,PedTblTijden!V$14,FALSE),"")</f>
        <v/>
      </c>
      <c r="AC4" s="12" t="str">
        <f>IF(OR($D4="1 dd",$D4="2 dd",$D4="3 dd",$D4="4 dd",$D4="6 dd",$D4="8 dd",$D4="12 dd",$D4="an",$D4="1 X"),VLOOKUP($D4,PedTblTijden!$A$16:$X$26,PedTblTijden!W$14,FALSE),"")</f>
        <v/>
      </c>
      <c r="AD4" s="93" t="str">
        <f>IF(OR($D4="1 dd",$D4="2 dd",$D4="3 dd",$D4="4 dd",$D4="6 dd",$D4="8 dd",$D4="12 dd",$D4="an",$D4="1 X"),VLOOKUP($D4,PedTblTijden!$A$16:$X$26,PedTblTijden!X$14,FALSE),"")</f>
        <v/>
      </c>
      <c r="AE4" s="14"/>
      <c r="AF4" s="92"/>
      <c r="AG4" s="14"/>
    </row>
    <row r="5" spans="1:33" ht="26.1" customHeight="1" x14ac:dyDescent="0.2">
      <c r="B5" s="94"/>
      <c r="C5" s="125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26" t="str">
        <f>IF(GlobGuiMedDisc!I11&lt;&gt;"",GlobGuiMedDisc!I11,"")</f>
        <v/>
      </c>
      <c r="E5" s="127" t="str">
        <f>IF(AND(D5&lt;&gt;"",D5&lt;&gt;"STOP"),GlobBerMedDisc!H4&amp;" "&amp;GlobBerMedDisc!F4,"")</f>
        <v/>
      </c>
      <c r="F5" s="127" t="str">
        <f>IF(AND(D5&lt;&gt;"",D5&lt;&gt;"STOP"),GlobBerMedDisc!L4," ")</f>
        <v xml:space="preserve"> </v>
      </c>
      <c r="G5" s="127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dd",$D5="6 dd",$D5="8 dd",$D5="12 dd",$D5="an",$D5="1 X"),VLOOKUP($D5,PedTblTijden!$A$16:$X$26,PedTblTijden!B$14,FALSE),"")</f>
        <v/>
      </c>
      <c r="I5" s="12" t="str">
        <f>IF(OR($D5="1 dd",$D5="2 dd",$D5="3 dd",$D5="4 dd",$D5="6 dd",$D5="8 dd",$D5="12 dd",$D5="an",$D5="1 X"),VLOOKUP($D5,PedTblTijden!$A$16:$X$26,PedTblTijden!C$14,FALSE),"")</f>
        <v/>
      </c>
      <c r="J5" s="93" t="str">
        <f>IF(OR($D5="1 dd",$D5="2 dd",$D5="3 dd",$D5="4 dd",$D5="6 dd",$D5="8 dd",$D5="12 dd",$D5="an",$D5="1 X"),VLOOKUP($D5,PedTblTijden!$A$16:$X$26,PedTblTijden!D$14,FALSE),"")</f>
        <v/>
      </c>
      <c r="K5" s="12" t="str">
        <f>IF(OR($D5="1 dd",$D5="2 dd",$D5="3 dd",$D5="4 dd",$D5="6 dd",$D5="8 dd",$D5="12 dd",$D5="an",$D5="1 X"),VLOOKUP($D5,PedTblTijden!$A$16:$X$26,PedTblTijden!E$14,FALSE),"")</f>
        <v/>
      </c>
      <c r="L5" s="93" t="str">
        <f>IF(OR($D5="1 dd",$D5="2 dd",$D5="3 dd",$D5="4 dd",$D5="6 dd",$D5="8 dd",$D5="12 dd",$D5="an",$D5="1 X"),VLOOKUP($D5,PedTblTijden!$A$16:$X$26,PedTblTijden!F$14,FALSE),"")</f>
        <v/>
      </c>
      <c r="M5" s="12" t="str">
        <f>IF(OR($D5="1 dd",$D5="2 dd",$D5="3 dd",$D5="4 dd",$D5="6 dd",$D5="8 dd",$D5="12 dd",$D5="an",$D5="1 X"),VLOOKUP($D5,PedTblTijden!$A$16:$X$26,PedTblTijden!G$14,FALSE),"")</f>
        <v/>
      </c>
      <c r="N5" s="93" t="str">
        <f>IF(OR($D5="1 dd",$D5="2 dd",$D5="3 dd",$D5="4 dd",$D5="6 dd",$D5="8 dd",$D5="12 dd",$D5="an",$D5="1 X"),VLOOKUP($D5,PedTblTijden!$A$16:$X$26,PedTblTijden!H$14,FALSE),"")</f>
        <v/>
      </c>
      <c r="O5" s="12" t="str">
        <f>IF(OR($D5="1 dd",$D5="2 dd",$D5="3 dd",$D5="4 dd",$D5="6 dd",$D5="8 dd",$D5="12 dd",$D5="an",$D5="1 X"),VLOOKUP($D5,PedTblTijden!$A$16:$X$26,PedTblTijden!I$14,FALSE),"")</f>
        <v/>
      </c>
      <c r="P5" s="93" t="str">
        <f>IF(OR($D5="1 dd",$D5="2 dd",$D5="3 dd",$D5="4 dd",$D5="6 dd",$D5="8 dd",$D5="12 dd",$D5="an",$D5="1 X"),VLOOKUP($D5,PedTblTijden!$A$16:$X$26,PedTblTijden!J$14,FALSE),"")</f>
        <v/>
      </c>
      <c r="Q5" s="12" t="str">
        <f>IF(OR($D5="1 dd",$D5="2 dd",$D5="3 dd",$D5="4 dd",$D5="6 dd",$D5="8 dd",$D5="12 dd",$D5="an",$D5="1 X"),VLOOKUP($D5,PedTblTijden!$A$16:$X$26,PedTblTijden!K$14,FALSE),"")</f>
        <v/>
      </c>
      <c r="R5" s="93" t="str">
        <f>IF(OR($D5="1 dd",$D5="2 dd",$D5="3 dd",$D5="4 dd",$D5="6 dd",$D5="8 dd",$D5="12 dd",$D5="an",$D5="1 X"),VLOOKUP($D5,PedTblTijden!$A$16:$X$26,PedTblTijden!L$14,FALSE),"")</f>
        <v/>
      </c>
      <c r="S5" s="12" t="str">
        <f>IF(OR($D5="1 dd",$D5="2 dd",$D5="3 dd",$D5="4 dd",$D5="6 dd",$D5="8 dd",$D5="12 dd",$D5="an",$D5="1 X"),VLOOKUP($D5,PedTblTijden!$A$16:$X$26,PedTblTijden!M$14,FALSE),"")</f>
        <v/>
      </c>
      <c r="T5" s="93" t="str">
        <f>IF(OR($D5="1 dd",$D5="2 dd",$D5="3 dd",$D5="4 dd",$D5="6 dd",$D5="8 dd",$D5="12 dd",$D5="an",$D5="1 X"),VLOOKUP($D5,PedTblTijden!$A$16:$X$26,PedTblTijden!N$14,FALSE),"")</f>
        <v/>
      </c>
      <c r="U5" s="12" t="str">
        <f>IF(OR($D5="1 dd",$D5="2 dd",$D5="3 dd",$D5="4 dd",$D5="6 dd",$D5="8 dd",$D5="12 dd",$D5="an",$D5="1 X"),VLOOKUP($D5,PedTblTijden!$A$16:$X$26,PedTblTijden!O$14,FALSE),"")</f>
        <v/>
      </c>
      <c r="V5" s="93" t="str">
        <f>IF(OR($D5="1 dd",$D5="2 dd",$D5="3 dd",$D5="4 dd",$D5="6 dd",$D5="8 dd",$D5="12 dd",$D5="an",$D5="1 X"),VLOOKUP($D5,PedTblTijden!$A$16:$X$26,PedTblTijden!P$14,FALSE),"")</f>
        <v/>
      </c>
      <c r="W5" s="12" t="str">
        <f>IF(OR($D5="1 dd",$D5="2 dd",$D5="3 dd",$D5="4 dd",$D5="6 dd",$D5="8 dd",$D5="12 dd",$D5="an",$D5="1 X"),VLOOKUP($D5,PedTblTijden!$A$16:$X$26,PedTblTijden!Q$14,FALSE),"")</f>
        <v/>
      </c>
      <c r="X5" s="93" t="str">
        <f>IF(OR($D5="1 dd",$D5="2 dd",$D5="3 dd",$D5="4 dd",$D5="6 dd",$D5="8 dd",$D5="12 dd",$D5="an",$D5="1 X"),VLOOKUP($D5,PedTblTijden!$A$16:$X$26,PedTblTijden!R$14,FALSE),"")</f>
        <v/>
      </c>
      <c r="Y5" s="12" t="str">
        <f>IF(OR($D5="1 dd",$D5="2 dd",$D5="3 dd",$D5="4 dd",$D5="6 dd",$D5="8 dd",$D5="12 dd",$D5="an",$D5="1 X"),VLOOKUP($D5,PedTblTijden!$A$16:$X$26,PedTblTijden!S$14,FALSE),"")</f>
        <v/>
      </c>
      <c r="Z5" s="93" t="str">
        <f>IF(OR($D5="1 dd",$D5="2 dd",$D5="3 dd",$D5="4 dd",$D5="6 dd",$D5="8 dd",$D5="12 dd",$D5="an",$D5="1 X"),VLOOKUP($D5,PedTblTijden!$A$16:$X$26,PedTblTijden!T$14,FALSE),"")</f>
        <v/>
      </c>
      <c r="AA5" s="12" t="str">
        <f>IF(OR($D5="1 dd",$D5="2 dd",$D5="3 dd",$D5="4 dd",$D5="6 dd",$D5="8 dd",$D5="12 dd",$D5="an",$D5="1 X"),VLOOKUP($D5,PedTblTijden!$A$16:$X$26,PedTblTijden!U$14,FALSE),"")</f>
        <v/>
      </c>
      <c r="AB5" s="93" t="str">
        <f>IF(OR($D5="1 dd",$D5="2 dd",$D5="3 dd",$D5="4 dd",$D5="6 dd",$D5="8 dd",$D5="12 dd",$D5="an",$D5="1 X"),VLOOKUP($D5,PedTblTijden!$A$16:$X$26,PedTblTijden!V$14,FALSE),"")</f>
        <v/>
      </c>
      <c r="AC5" s="12" t="str">
        <f>IF(OR($D5="1 dd",$D5="2 dd",$D5="3 dd",$D5="4 dd",$D5="6 dd",$D5="8 dd",$D5="12 dd",$D5="an",$D5="1 X"),VLOOKUP($D5,PedTblTijden!$A$16:$X$26,PedTblTijden!W$14,FALSE),"")</f>
        <v/>
      </c>
      <c r="AD5" s="93" t="str">
        <f>IF(OR($D5="1 dd",$D5="2 dd",$D5="3 dd",$D5="4 dd",$D5="6 dd",$D5="8 dd",$D5="12 dd",$D5="an",$D5="1 X"),VLOOKUP($D5,PedTblTijden!$A$16:$X$26,PedTblTijden!X$14,FALSE),"")</f>
        <v/>
      </c>
      <c r="AE5" s="14"/>
      <c r="AF5" s="92"/>
      <c r="AG5" s="14"/>
    </row>
    <row r="6" spans="1:33" ht="26.1" customHeight="1" x14ac:dyDescent="0.2">
      <c r="A6" s="352"/>
      <c r="B6" s="94"/>
      <c r="C6" s="125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26" t="str">
        <f>IF(GlobGuiMedDisc!I12&lt;&gt;"",GlobGuiMedDisc!I12,"")</f>
        <v/>
      </c>
      <c r="E6" s="127" t="str">
        <f>IF(AND(D6&lt;&gt;"",D6&lt;&gt;"STOP"),GlobBerMedDisc!H5&amp;" "&amp;GlobBerMedDisc!F5,"")</f>
        <v/>
      </c>
      <c r="F6" s="127" t="str">
        <f>IF(AND(D6&lt;&gt;"",D6&lt;&gt;"STOP"),GlobBerMedDisc!L5," ")</f>
        <v xml:space="preserve"> </v>
      </c>
      <c r="G6" s="127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dd",$D6="6 dd",$D6="8 dd",$D6="12 dd",$D6="an",$D6="1 X"),VLOOKUP($D6,PedTblTijden!$A$16:$X$26,PedTblTijden!B$14,FALSE),"")</f>
        <v/>
      </c>
      <c r="I6" s="12" t="str">
        <f>IF(OR($D6="1 dd",$D6="2 dd",$D6="3 dd",$D6="4 dd",$D6="6 dd",$D6="8 dd",$D6="12 dd",$D6="an",$D6="1 X"),VLOOKUP($D6,PedTblTijden!$A$16:$X$26,PedTblTijden!C$14,FALSE),"")</f>
        <v/>
      </c>
      <c r="J6" s="93" t="str">
        <f>IF(OR($D6="1 dd",$D6="2 dd",$D6="3 dd",$D6="4 dd",$D6="6 dd",$D6="8 dd",$D6="12 dd",$D6="an",$D6="1 X"),VLOOKUP($D6,PedTblTijden!$A$16:$X$26,PedTblTijden!D$14,FALSE),"")</f>
        <v/>
      </c>
      <c r="K6" s="12" t="str">
        <f>IF(OR($D6="1 dd",$D6="2 dd",$D6="3 dd",$D6="4 dd",$D6="6 dd",$D6="8 dd",$D6="12 dd",$D6="an",$D6="1 X"),VLOOKUP($D6,PedTblTijden!$A$16:$X$26,PedTblTijden!E$14,FALSE),"")</f>
        <v/>
      </c>
      <c r="L6" s="93" t="str">
        <f>IF(OR($D6="1 dd",$D6="2 dd",$D6="3 dd",$D6="4 dd",$D6="6 dd",$D6="8 dd",$D6="12 dd",$D6="an",$D6="1 X"),VLOOKUP($D6,PedTblTijden!$A$16:$X$26,PedTblTijden!F$14,FALSE),"")</f>
        <v/>
      </c>
      <c r="M6" s="12" t="str">
        <f>IF(OR($D6="1 dd",$D6="2 dd",$D6="3 dd",$D6="4 dd",$D6="6 dd",$D6="8 dd",$D6="12 dd",$D6="an",$D6="1 X"),VLOOKUP($D6,PedTblTijden!$A$16:$X$26,PedTblTijden!G$14,FALSE),"")</f>
        <v/>
      </c>
      <c r="N6" s="93" t="str">
        <f>IF(OR($D6="1 dd",$D6="2 dd",$D6="3 dd",$D6="4 dd",$D6="6 dd",$D6="8 dd",$D6="12 dd",$D6="an",$D6="1 X"),VLOOKUP($D6,PedTblTijden!$A$16:$X$26,PedTblTijden!H$14,FALSE),"")</f>
        <v/>
      </c>
      <c r="O6" s="12" t="str">
        <f>IF(OR($D6="1 dd",$D6="2 dd",$D6="3 dd",$D6="4 dd",$D6="6 dd",$D6="8 dd",$D6="12 dd",$D6="an",$D6="1 X"),VLOOKUP($D6,PedTblTijden!$A$16:$X$26,PedTblTijden!I$14,FALSE),"")</f>
        <v/>
      </c>
      <c r="P6" s="93" t="str">
        <f>IF(OR($D6="1 dd",$D6="2 dd",$D6="3 dd",$D6="4 dd",$D6="6 dd",$D6="8 dd",$D6="12 dd",$D6="an",$D6="1 X"),VLOOKUP($D6,PedTblTijden!$A$16:$X$26,PedTblTijden!J$14,FALSE),"")</f>
        <v/>
      </c>
      <c r="Q6" s="12" t="str">
        <f>IF(OR($D6="1 dd",$D6="2 dd",$D6="3 dd",$D6="4 dd",$D6="6 dd",$D6="8 dd",$D6="12 dd",$D6="an",$D6="1 X"),VLOOKUP($D6,PedTblTijden!$A$16:$X$26,PedTblTijden!K$14,FALSE),"")</f>
        <v/>
      </c>
      <c r="R6" s="93" t="str">
        <f>IF(OR($D6="1 dd",$D6="2 dd",$D6="3 dd",$D6="4 dd",$D6="6 dd",$D6="8 dd",$D6="12 dd",$D6="an",$D6="1 X"),VLOOKUP($D6,PedTblTijden!$A$16:$X$26,PedTblTijden!L$14,FALSE),"")</f>
        <v/>
      </c>
      <c r="S6" s="12" t="str">
        <f>IF(OR($D6="1 dd",$D6="2 dd",$D6="3 dd",$D6="4 dd",$D6="6 dd",$D6="8 dd",$D6="12 dd",$D6="an",$D6="1 X"),VLOOKUP($D6,PedTblTijden!$A$16:$X$26,PedTblTijden!M$14,FALSE),"")</f>
        <v/>
      </c>
      <c r="T6" s="93" t="str">
        <f>IF(OR($D6="1 dd",$D6="2 dd",$D6="3 dd",$D6="4 dd",$D6="6 dd",$D6="8 dd",$D6="12 dd",$D6="an",$D6="1 X"),VLOOKUP($D6,PedTblTijden!$A$16:$X$26,PedTblTijden!N$14,FALSE),"")</f>
        <v/>
      </c>
      <c r="U6" s="12" t="str">
        <f>IF(OR($D6="1 dd",$D6="2 dd",$D6="3 dd",$D6="4 dd",$D6="6 dd",$D6="8 dd",$D6="12 dd",$D6="an",$D6="1 X"),VLOOKUP($D6,PedTblTijden!$A$16:$X$26,PedTblTijden!O$14,FALSE),"")</f>
        <v/>
      </c>
      <c r="V6" s="93" t="str">
        <f>IF(OR($D6="1 dd",$D6="2 dd",$D6="3 dd",$D6="4 dd",$D6="6 dd",$D6="8 dd",$D6="12 dd",$D6="an",$D6="1 X"),VLOOKUP($D6,PedTblTijden!$A$16:$X$26,PedTblTijden!P$14,FALSE),"")</f>
        <v/>
      </c>
      <c r="W6" s="12" t="str">
        <f>IF(OR($D6="1 dd",$D6="2 dd",$D6="3 dd",$D6="4 dd",$D6="6 dd",$D6="8 dd",$D6="12 dd",$D6="an",$D6="1 X"),VLOOKUP($D6,PedTblTijden!$A$16:$X$26,PedTblTijden!Q$14,FALSE),"")</f>
        <v/>
      </c>
      <c r="X6" s="93" t="str">
        <f>IF(OR($D6="1 dd",$D6="2 dd",$D6="3 dd",$D6="4 dd",$D6="6 dd",$D6="8 dd",$D6="12 dd",$D6="an",$D6="1 X"),VLOOKUP($D6,PedTblTijden!$A$16:$X$26,PedTblTijden!R$14,FALSE),"")</f>
        <v/>
      </c>
      <c r="Y6" s="12" t="str">
        <f>IF(OR($D6="1 dd",$D6="2 dd",$D6="3 dd",$D6="4 dd",$D6="6 dd",$D6="8 dd",$D6="12 dd",$D6="an",$D6="1 X"),VLOOKUP($D6,PedTblTijden!$A$16:$X$26,PedTblTijden!S$14,FALSE),"")</f>
        <v/>
      </c>
      <c r="Z6" s="93" t="str">
        <f>IF(OR($D6="1 dd",$D6="2 dd",$D6="3 dd",$D6="4 dd",$D6="6 dd",$D6="8 dd",$D6="12 dd",$D6="an",$D6="1 X"),VLOOKUP($D6,PedTblTijden!$A$16:$X$26,PedTblTijden!T$14,FALSE),"")</f>
        <v/>
      </c>
      <c r="AA6" s="12" t="str">
        <f>IF(OR($D6="1 dd",$D6="2 dd",$D6="3 dd",$D6="4 dd",$D6="6 dd",$D6="8 dd",$D6="12 dd",$D6="an",$D6="1 X"),VLOOKUP($D6,PedTblTijden!$A$16:$X$26,PedTblTijden!U$14,FALSE),"")</f>
        <v/>
      </c>
      <c r="AB6" s="93" t="str">
        <f>IF(OR($D6="1 dd",$D6="2 dd",$D6="3 dd",$D6="4 dd",$D6="6 dd",$D6="8 dd",$D6="12 dd",$D6="an",$D6="1 X"),VLOOKUP($D6,PedTblTijden!$A$16:$X$26,PedTblTijden!V$14,FALSE),"")</f>
        <v/>
      </c>
      <c r="AC6" s="12" t="str">
        <f>IF(OR($D6="1 dd",$D6="2 dd",$D6="3 dd",$D6="4 dd",$D6="6 dd",$D6="8 dd",$D6="12 dd",$D6="an",$D6="1 X"),VLOOKUP($D6,PedTblTijden!$A$16:$X$26,PedTblTijden!W$14,FALSE),"")</f>
        <v/>
      </c>
      <c r="AD6" s="93" t="str">
        <f>IF(OR($D6="1 dd",$D6="2 dd",$D6="3 dd",$D6="4 dd",$D6="6 dd",$D6="8 dd",$D6="12 dd",$D6="an",$D6="1 X"),VLOOKUP($D6,PedTblTijden!$A$16:$X$26,PedTblTijden!X$14,FALSE),"")</f>
        <v/>
      </c>
      <c r="AE6" s="14"/>
      <c r="AF6" s="92"/>
      <c r="AG6" s="14"/>
    </row>
    <row r="7" spans="1:33" ht="26.1" customHeight="1" x14ac:dyDescent="0.2">
      <c r="B7" s="94"/>
      <c r="C7" s="125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26" t="str">
        <f>IF(GlobGuiMedDisc!I13&lt;&gt;"",GlobGuiMedDisc!I13,"")</f>
        <v/>
      </c>
      <c r="E7" s="127" t="str">
        <f>IF(AND(D7&lt;&gt;"",D7&lt;&gt;"STOP"),GlobBerMedDisc!H6&amp;" "&amp;GlobBerMedDisc!F6,"")</f>
        <v/>
      </c>
      <c r="F7" s="127" t="str">
        <f>IF(AND(D7&lt;&gt;"",D7&lt;&gt;"STOP"),GlobBerMedDisc!L6," ")</f>
        <v xml:space="preserve"> </v>
      </c>
      <c r="G7" s="127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dd",$D7="6 dd",$D7="8 dd",$D7="12 dd",$D7="an",$D7="1 X"),VLOOKUP($D7,PedTblTijden!$A$16:$X$26,PedTblTijden!B$14,FALSE),"")</f>
        <v/>
      </c>
      <c r="I7" s="12" t="str">
        <f>IF(OR($D7="1 dd",$D7="2 dd",$D7="3 dd",$D7="4 dd",$D7="6 dd",$D7="8 dd",$D7="12 dd",$D7="an",$D7="1 X"),VLOOKUP($D7,PedTblTijden!$A$16:$X$26,PedTblTijden!C$14,FALSE),"")</f>
        <v/>
      </c>
      <c r="J7" s="93" t="str">
        <f>IF(OR($D7="1 dd",$D7="2 dd",$D7="3 dd",$D7="4 dd",$D7="6 dd",$D7="8 dd",$D7="12 dd",$D7="an",$D7="1 X"),VLOOKUP($D7,PedTblTijden!$A$16:$X$26,PedTblTijden!D$14,FALSE),"")</f>
        <v/>
      </c>
      <c r="K7" s="12" t="str">
        <f>IF(OR($D7="1 dd",$D7="2 dd",$D7="3 dd",$D7="4 dd",$D7="6 dd",$D7="8 dd",$D7="12 dd",$D7="an",$D7="1 X"),VLOOKUP($D7,PedTblTijden!$A$16:$X$26,PedTblTijden!E$14,FALSE),"")</f>
        <v/>
      </c>
      <c r="L7" s="93" t="str">
        <f>IF(OR($D7="1 dd",$D7="2 dd",$D7="3 dd",$D7="4 dd",$D7="6 dd",$D7="8 dd",$D7="12 dd",$D7="an",$D7="1 X"),VLOOKUP($D7,PedTblTijden!$A$16:$X$26,PedTblTijden!F$14,FALSE),"")</f>
        <v/>
      </c>
      <c r="M7" s="12" t="str">
        <f>IF(OR($D7="1 dd",$D7="2 dd",$D7="3 dd",$D7="4 dd",$D7="6 dd",$D7="8 dd",$D7="12 dd",$D7="an",$D7="1 X"),VLOOKUP($D7,PedTblTijden!$A$16:$X$26,PedTblTijden!G$14,FALSE),"")</f>
        <v/>
      </c>
      <c r="N7" s="93" t="str">
        <f>IF(OR($D7="1 dd",$D7="2 dd",$D7="3 dd",$D7="4 dd",$D7="6 dd",$D7="8 dd",$D7="12 dd",$D7="an",$D7="1 X"),VLOOKUP($D7,PedTblTijden!$A$16:$X$26,PedTblTijden!H$14,FALSE),"")</f>
        <v/>
      </c>
      <c r="O7" s="12" t="str">
        <f>IF(OR($D7="1 dd",$D7="2 dd",$D7="3 dd",$D7="4 dd",$D7="6 dd",$D7="8 dd",$D7="12 dd",$D7="an",$D7="1 X"),VLOOKUP($D7,PedTblTijden!$A$16:$X$26,PedTblTijden!I$14,FALSE),"")</f>
        <v/>
      </c>
      <c r="P7" s="93" t="str">
        <f>IF(OR($D7="1 dd",$D7="2 dd",$D7="3 dd",$D7="4 dd",$D7="6 dd",$D7="8 dd",$D7="12 dd",$D7="an",$D7="1 X"),VLOOKUP($D7,PedTblTijden!$A$16:$X$26,PedTblTijden!J$14,FALSE),"")</f>
        <v/>
      </c>
      <c r="Q7" s="12" t="str">
        <f>IF(OR($D7="1 dd",$D7="2 dd",$D7="3 dd",$D7="4 dd",$D7="6 dd",$D7="8 dd",$D7="12 dd",$D7="an",$D7="1 X"),VLOOKUP($D7,PedTblTijden!$A$16:$X$26,PedTblTijden!K$14,FALSE),"")</f>
        <v/>
      </c>
      <c r="R7" s="93" t="str">
        <f>IF(OR($D7="1 dd",$D7="2 dd",$D7="3 dd",$D7="4 dd",$D7="6 dd",$D7="8 dd",$D7="12 dd",$D7="an",$D7="1 X"),VLOOKUP($D7,PedTblTijden!$A$16:$X$26,PedTblTijden!L$14,FALSE),"")</f>
        <v/>
      </c>
      <c r="S7" s="12" t="str">
        <f>IF(OR($D7="1 dd",$D7="2 dd",$D7="3 dd",$D7="4 dd",$D7="6 dd",$D7="8 dd",$D7="12 dd",$D7="an",$D7="1 X"),VLOOKUP($D7,PedTblTijden!$A$16:$X$26,PedTblTijden!M$14,FALSE),"")</f>
        <v/>
      </c>
      <c r="T7" s="93" t="str">
        <f>IF(OR($D7="1 dd",$D7="2 dd",$D7="3 dd",$D7="4 dd",$D7="6 dd",$D7="8 dd",$D7="12 dd",$D7="an",$D7="1 X"),VLOOKUP($D7,PedTblTijden!$A$16:$X$26,PedTblTijden!N$14,FALSE),"")</f>
        <v/>
      </c>
      <c r="U7" s="12" t="str">
        <f>IF(OR($D7="1 dd",$D7="2 dd",$D7="3 dd",$D7="4 dd",$D7="6 dd",$D7="8 dd",$D7="12 dd",$D7="an",$D7="1 X"),VLOOKUP($D7,PedTblTijden!$A$16:$X$26,PedTblTijden!O$14,FALSE),"")</f>
        <v/>
      </c>
      <c r="V7" s="93" t="str">
        <f>IF(OR($D7="1 dd",$D7="2 dd",$D7="3 dd",$D7="4 dd",$D7="6 dd",$D7="8 dd",$D7="12 dd",$D7="an",$D7="1 X"),VLOOKUP($D7,PedTblTijden!$A$16:$X$26,PedTblTijden!P$14,FALSE),"")</f>
        <v/>
      </c>
      <c r="W7" s="12" t="str">
        <f>IF(OR($D7="1 dd",$D7="2 dd",$D7="3 dd",$D7="4 dd",$D7="6 dd",$D7="8 dd",$D7="12 dd",$D7="an",$D7="1 X"),VLOOKUP($D7,PedTblTijden!$A$16:$X$26,PedTblTijden!Q$14,FALSE),"")</f>
        <v/>
      </c>
      <c r="X7" s="93" t="str">
        <f>IF(OR($D7="1 dd",$D7="2 dd",$D7="3 dd",$D7="4 dd",$D7="6 dd",$D7="8 dd",$D7="12 dd",$D7="an",$D7="1 X"),VLOOKUP($D7,PedTblTijden!$A$16:$X$26,PedTblTijden!R$14,FALSE),"")</f>
        <v/>
      </c>
      <c r="Y7" s="12" t="str">
        <f>IF(OR($D7="1 dd",$D7="2 dd",$D7="3 dd",$D7="4 dd",$D7="6 dd",$D7="8 dd",$D7="12 dd",$D7="an",$D7="1 X"),VLOOKUP($D7,PedTblTijden!$A$16:$X$26,PedTblTijden!S$14,FALSE),"")</f>
        <v/>
      </c>
      <c r="Z7" s="93" t="str">
        <f>IF(OR($D7="1 dd",$D7="2 dd",$D7="3 dd",$D7="4 dd",$D7="6 dd",$D7="8 dd",$D7="12 dd",$D7="an",$D7="1 X"),VLOOKUP($D7,PedTblTijden!$A$16:$X$26,PedTblTijden!T$14,FALSE),"")</f>
        <v/>
      </c>
      <c r="AA7" s="12" t="str">
        <f>IF(OR($D7="1 dd",$D7="2 dd",$D7="3 dd",$D7="4 dd",$D7="6 dd",$D7="8 dd",$D7="12 dd",$D7="an",$D7="1 X"),VLOOKUP($D7,PedTblTijden!$A$16:$X$26,PedTblTijden!U$14,FALSE),"")</f>
        <v/>
      </c>
      <c r="AB7" s="93" t="str">
        <f>IF(OR($D7="1 dd",$D7="2 dd",$D7="3 dd",$D7="4 dd",$D7="6 dd",$D7="8 dd",$D7="12 dd",$D7="an",$D7="1 X"),VLOOKUP($D7,PedTblTijden!$A$16:$X$26,PedTblTijden!V$14,FALSE),"")</f>
        <v/>
      </c>
      <c r="AC7" s="12" t="str">
        <f>IF(OR($D7="1 dd",$D7="2 dd",$D7="3 dd",$D7="4 dd",$D7="6 dd",$D7="8 dd",$D7="12 dd",$D7="an",$D7="1 X"),VLOOKUP($D7,PedTblTijden!$A$16:$X$26,PedTblTijden!W$14,FALSE),"")</f>
        <v/>
      </c>
      <c r="AD7" s="93" t="str">
        <f>IF(OR($D7="1 dd",$D7="2 dd",$D7="3 dd",$D7="4 dd",$D7="6 dd",$D7="8 dd",$D7="12 dd",$D7="an",$D7="1 X"),VLOOKUP($D7,PedTblTijden!$A$16:$X$26,PedTblTijden!X$14,FALSE),"")</f>
        <v/>
      </c>
      <c r="AE7" s="14"/>
      <c r="AF7" s="92"/>
      <c r="AG7" s="14"/>
    </row>
    <row r="8" spans="1:33" ht="26.1" customHeight="1" x14ac:dyDescent="0.2">
      <c r="B8" s="94"/>
      <c r="C8" s="125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26" t="str">
        <f>IF(GlobGuiMedDisc!I14&lt;&gt;"",GlobGuiMedDisc!I14,"")</f>
        <v/>
      </c>
      <c r="E8" s="127" t="str">
        <f>IF(AND(D8&lt;&gt;"",D8&lt;&gt;"STOP"),GlobBerMedDisc!H7&amp;" "&amp;GlobBerMedDisc!F7,"")</f>
        <v/>
      </c>
      <c r="F8" s="127" t="str">
        <f>IF(AND(D8&lt;&gt;"",D8&lt;&gt;"STOP"),GlobBerMedDisc!L7," ")</f>
        <v xml:space="preserve"> </v>
      </c>
      <c r="G8" s="127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dd",$D8="6 dd",$D8="8 dd",$D8="12 dd",$D8="an",$D8="1 X"),VLOOKUP($D8,PedTblTijden!$A$16:$X$26,PedTblTijden!B$14,FALSE),"")</f>
        <v/>
      </c>
      <c r="I8" s="12" t="str">
        <f>IF(OR($D8="1 dd",$D8="2 dd",$D8="3 dd",$D8="4 dd",$D8="6 dd",$D8="8 dd",$D8="12 dd",$D8="an",$D8="1 X"),VLOOKUP($D8,PedTblTijden!$A$16:$X$26,PedTblTijden!C$14,FALSE),"")</f>
        <v/>
      </c>
      <c r="J8" s="93" t="str">
        <f>IF(OR($D8="1 dd",$D8="2 dd",$D8="3 dd",$D8="4 dd",$D8="6 dd",$D8="8 dd",$D8="12 dd",$D8="an",$D8="1 X"),VLOOKUP($D8,PedTblTijden!$A$16:$X$26,PedTblTijden!D$14,FALSE),"")</f>
        <v/>
      </c>
      <c r="K8" s="12" t="str">
        <f>IF(OR($D8="1 dd",$D8="2 dd",$D8="3 dd",$D8="4 dd",$D8="6 dd",$D8="8 dd",$D8="12 dd",$D8="an",$D8="1 X"),VLOOKUP($D8,PedTblTijden!$A$16:$X$26,PedTblTijden!E$14,FALSE),"")</f>
        <v/>
      </c>
      <c r="L8" s="93" t="str">
        <f>IF(OR($D8="1 dd",$D8="2 dd",$D8="3 dd",$D8="4 dd",$D8="6 dd",$D8="8 dd",$D8="12 dd",$D8="an",$D8="1 X"),VLOOKUP($D8,PedTblTijden!$A$16:$X$26,PedTblTijden!F$14,FALSE),"")</f>
        <v/>
      </c>
      <c r="M8" s="12" t="str">
        <f>IF(OR($D8="1 dd",$D8="2 dd",$D8="3 dd",$D8="4 dd",$D8="6 dd",$D8="8 dd",$D8="12 dd",$D8="an",$D8="1 X"),VLOOKUP($D8,PedTblTijden!$A$16:$X$26,PedTblTijden!G$14,FALSE),"")</f>
        <v/>
      </c>
      <c r="N8" s="93" t="str">
        <f>IF(OR($D8="1 dd",$D8="2 dd",$D8="3 dd",$D8="4 dd",$D8="6 dd",$D8="8 dd",$D8="12 dd",$D8="an",$D8="1 X"),VLOOKUP($D8,PedTblTijden!$A$16:$X$26,PedTblTijden!H$14,FALSE),"")</f>
        <v/>
      </c>
      <c r="O8" s="12" t="str">
        <f>IF(OR($D8="1 dd",$D8="2 dd",$D8="3 dd",$D8="4 dd",$D8="6 dd",$D8="8 dd",$D8="12 dd",$D8="an",$D8="1 X"),VLOOKUP($D8,PedTblTijden!$A$16:$X$26,PedTblTijden!I$14,FALSE),"")</f>
        <v/>
      </c>
      <c r="P8" s="93" t="str">
        <f>IF(OR($D8="1 dd",$D8="2 dd",$D8="3 dd",$D8="4 dd",$D8="6 dd",$D8="8 dd",$D8="12 dd",$D8="an",$D8="1 X"),VLOOKUP($D8,PedTblTijden!$A$16:$X$26,PedTblTijden!J$14,FALSE),"")</f>
        <v/>
      </c>
      <c r="Q8" s="12" t="str">
        <f>IF(OR($D8="1 dd",$D8="2 dd",$D8="3 dd",$D8="4 dd",$D8="6 dd",$D8="8 dd",$D8="12 dd",$D8="an",$D8="1 X"),VLOOKUP($D8,PedTblTijden!$A$16:$X$26,PedTblTijden!K$14,FALSE),"")</f>
        <v/>
      </c>
      <c r="R8" s="93" t="str">
        <f>IF(OR($D8="1 dd",$D8="2 dd",$D8="3 dd",$D8="4 dd",$D8="6 dd",$D8="8 dd",$D8="12 dd",$D8="an",$D8="1 X"),VLOOKUP($D8,PedTblTijden!$A$16:$X$26,PedTblTijden!L$14,FALSE),"")</f>
        <v/>
      </c>
      <c r="S8" s="12" t="str">
        <f>IF(OR($D8="1 dd",$D8="2 dd",$D8="3 dd",$D8="4 dd",$D8="6 dd",$D8="8 dd",$D8="12 dd",$D8="an",$D8="1 X"),VLOOKUP($D8,PedTblTijden!$A$16:$X$26,PedTblTijden!M$14,FALSE),"")</f>
        <v/>
      </c>
      <c r="T8" s="93" t="str">
        <f>IF(OR($D8="1 dd",$D8="2 dd",$D8="3 dd",$D8="4 dd",$D8="6 dd",$D8="8 dd",$D8="12 dd",$D8="an",$D8="1 X"),VLOOKUP($D8,PedTblTijden!$A$16:$X$26,PedTblTijden!N$14,FALSE),"")</f>
        <v/>
      </c>
      <c r="U8" s="12" t="str">
        <f>IF(OR($D8="1 dd",$D8="2 dd",$D8="3 dd",$D8="4 dd",$D8="6 dd",$D8="8 dd",$D8="12 dd",$D8="an",$D8="1 X"),VLOOKUP($D8,PedTblTijden!$A$16:$X$26,PedTblTijden!O$14,FALSE),"")</f>
        <v/>
      </c>
      <c r="V8" s="93" t="str">
        <f>IF(OR($D8="1 dd",$D8="2 dd",$D8="3 dd",$D8="4 dd",$D8="6 dd",$D8="8 dd",$D8="12 dd",$D8="an",$D8="1 X"),VLOOKUP($D8,PedTblTijden!$A$16:$X$26,PedTblTijden!P$14,FALSE),"")</f>
        <v/>
      </c>
      <c r="W8" s="12" t="str">
        <f>IF(OR($D8="1 dd",$D8="2 dd",$D8="3 dd",$D8="4 dd",$D8="6 dd",$D8="8 dd",$D8="12 dd",$D8="an",$D8="1 X"),VLOOKUP($D8,PedTblTijden!$A$16:$X$26,PedTblTijden!Q$14,FALSE),"")</f>
        <v/>
      </c>
      <c r="X8" s="93" t="str">
        <f>IF(OR($D8="1 dd",$D8="2 dd",$D8="3 dd",$D8="4 dd",$D8="6 dd",$D8="8 dd",$D8="12 dd",$D8="an",$D8="1 X"),VLOOKUP($D8,PedTblTijden!$A$16:$X$26,PedTblTijden!R$14,FALSE),"")</f>
        <v/>
      </c>
      <c r="Y8" s="12" t="str">
        <f>IF(OR($D8="1 dd",$D8="2 dd",$D8="3 dd",$D8="4 dd",$D8="6 dd",$D8="8 dd",$D8="12 dd",$D8="an",$D8="1 X"),VLOOKUP($D8,PedTblTijden!$A$16:$X$26,PedTblTijden!S$14,FALSE),"")</f>
        <v/>
      </c>
      <c r="Z8" s="93" t="str">
        <f>IF(OR($D8="1 dd",$D8="2 dd",$D8="3 dd",$D8="4 dd",$D8="6 dd",$D8="8 dd",$D8="12 dd",$D8="an",$D8="1 X"),VLOOKUP($D8,PedTblTijden!$A$16:$X$26,PedTblTijden!T$14,FALSE),"")</f>
        <v/>
      </c>
      <c r="AA8" s="12" t="str">
        <f>IF(OR($D8="1 dd",$D8="2 dd",$D8="3 dd",$D8="4 dd",$D8="6 dd",$D8="8 dd",$D8="12 dd",$D8="an",$D8="1 X"),VLOOKUP($D8,PedTblTijden!$A$16:$X$26,PedTblTijden!U$14,FALSE),"")</f>
        <v/>
      </c>
      <c r="AB8" s="93" t="str">
        <f>IF(OR($D8="1 dd",$D8="2 dd",$D8="3 dd",$D8="4 dd",$D8="6 dd",$D8="8 dd",$D8="12 dd",$D8="an",$D8="1 X"),VLOOKUP($D8,PedTblTijden!$A$16:$X$26,PedTblTijden!V$14,FALSE),"")</f>
        <v/>
      </c>
      <c r="AC8" s="12" t="str">
        <f>IF(OR($D8="1 dd",$D8="2 dd",$D8="3 dd",$D8="4 dd",$D8="6 dd",$D8="8 dd",$D8="12 dd",$D8="an",$D8="1 X"),VLOOKUP($D8,PedTblTijden!$A$16:$X$26,PedTblTijden!W$14,FALSE),"")</f>
        <v/>
      </c>
      <c r="AD8" s="93" t="str">
        <f>IF(OR($D8="1 dd",$D8="2 dd",$D8="3 dd",$D8="4 dd",$D8="6 dd",$D8="8 dd",$D8="12 dd",$D8="an",$D8="1 X"),VLOOKUP($D8,PedTblTijden!$A$16:$X$26,PedTblTijden!X$14,FALSE),"")</f>
        <v/>
      </c>
      <c r="AE8" s="14"/>
      <c r="AF8" s="92"/>
      <c r="AG8" s="14"/>
    </row>
    <row r="9" spans="1:33" ht="26.1" customHeight="1" x14ac:dyDescent="0.2">
      <c r="B9" s="94"/>
      <c r="C9" s="125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26" t="str">
        <f>IF(GlobGuiMedDisc!I15&lt;&gt;"",GlobGuiMedDisc!I15,"")</f>
        <v/>
      </c>
      <c r="E9" s="127" t="str">
        <f>IF(AND(D9&lt;&gt;"",D9&lt;&gt;"STOP"),GlobBerMedDisc!H8&amp;" "&amp;GlobBerMedDisc!F8,"")</f>
        <v/>
      </c>
      <c r="F9" s="127" t="str">
        <f>IF(AND(D9&lt;&gt;"",D9&lt;&gt;"STOP"),GlobBerMedDisc!L8," ")</f>
        <v xml:space="preserve"> </v>
      </c>
      <c r="G9" s="127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dd",$D9="6 dd",$D9="8 dd",$D9="12 dd",$D9="an",$D9="1 X"),VLOOKUP($D9,PedTblTijden!$A$16:$X$26,PedTblTijden!B$14,FALSE),"")</f>
        <v/>
      </c>
      <c r="I9" s="12" t="str">
        <f>IF(OR($D9="1 dd",$D9="2 dd",$D9="3 dd",$D9="4 dd",$D9="6 dd",$D9="8 dd",$D9="12 dd",$D9="an",$D9="1 X"),VLOOKUP($D9,PedTblTijden!$A$16:$X$26,PedTblTijden!C$14,FALSE),"")</f>
        <v/>
      </c>
      <c r="J9" s="93" t="str">
        <f>IF(OR($D9="1 dd",$D9="2 dd",$D9="3 dd",$D9="4 dd",$D9="6 dd",$D9="8 dd",$D9="12 dd",$D9="an",$D9="1 X"),VLOOKUP($D9,PedTblTijden!$A$16:$X$26,PedTblTijden!D$14,FALSE),"")</f>
        <v/>
      </c>
      <c r="K9" s="12" t="str">
        <f>IF(OR($D9="1 dd",$D9="2 dd",$D9="3 dd",$D9="4 dd",$D9="6 dd",$D9="8 dd",$D9="12 dd",$D9="an",$D9="1 X"),VLOOKUP($D9,PedTblTijden!$A$16:$X$26,PedTblTijden!E$14,FALSE),"")</f>
        <v/>
      </c>
      <c r="L9" s="93" t="str">
        <f>IF(OR($D9="1 dd",$D9="2 dd",$D9="3 dd",$D9="4 dd",$D9="6 dd",$D9="8 dd",$D9="12 dd",$D9="an",$D9="1 X"),VLOOKUP($D9,PedTblTijden!$A$16:$X$26,PedTblTijden!F$14,FALSE),"")</f>
        <v/>
      </c>
      <c r="M9" s="12" t="str">
        <f>IF(OR($D9="1 dd",$D9="2 dd",$D9="3 dd",$D9="4 dd",$D9="6 dd",$D9="8 dd",$D9="12 dd",$D9="an",$D9="1 X"),VLOOKUP($D9,PedTblTijden!$A$16:$X$26,PedTblTijden!G$14,FALSE),"")</f>
        <v/>
      </c>
      <c r="N9" s="93" t="str">
        <f>IF(OR($D9="1 dd",$D9="2 dd",$D9="3 dd",$D9="4 dd",$D9="6 dd",$D9="8 dd",$D9="12 dd",$D9="an",$D9="1 X"),VLOOKUP($D9,PedTblTijden!$A$16:$X$26,PedTblTijden!H$14,FALSE),"")</f>
        <v/>
      </c>
      <c r="O9" s="12" t="str">
        <f>IF(OR($D9="1 dd",$D9="2 dd",$D9="3 dd",$D9="4 dd",$D9="6 dd",$D9="8 dd",$D9="12 dd",$D9="an",$D9="1 X"),VLOOKUP($D9,PedTblTijden!$A$16:$X$26,PedTblTijden!I$14,FALSE),"")</f>
        <v/>
      </c>
      <c r="P9" s="93" t="str">
        <f>IF(OR($D9="1 dd",$D9="2 dd",$D9="3 dd",$D9="4 dd",$D9="6 dd",$D9="8 dd",$D9="12 dd",$D9="an",$D9="1 X"),VLOOKUP($D9,PedTblTijden!$A$16:$X$26,PedTblTijden!J$14,FALSE),"")</f>
        <v/>
      </c>
      <c r="Q9" s="12" t="str">
        <f>IF(OR($D9="1 dd",$D9="2 dd",$D9="3 dd",$D9="4 dd",$D9="6 dd",$D9="8 dd",$D9="12 dd",$D9="an",$D9="1 X"),VLOOKUP($D9,PedTblTijden!$A$16:$X$26,PedTblTijden!K$14,FALSE),"")</f>
        <v/>
      </c>
      <c r="R9" s="93" t="str">
        <f>IF(OR($D9="1 dd",$D9="2 dd",$D9="3 dd",$D9="4 dd",$D9="6 dd",$D9="8 dd",$D9="12 dd",$D9="an",$D9="1 X"),VLOOKUP($D9,PedTblTijden!$A$16:$X$26,PedTblTijden!L$14,FALSE),"")</f>
        <v/>
      </c>
      <c r="S9" s="12" t="str">
        <f>IF(OR($D9="1 dd",$D9="2 dd",$D9="3 dd",$D9="4 dd",$D9="6 dd",$D9="8 dd",$D9="12 dd",$D9="an",$D9="1 X"),VLOOKUP($D9,PedTblTijden!$A$16:$X$26,PedTblTijden!M$14,FALSE),"")</f>
        <v/>
      </c>
      <c r="T9" s="93" t="str">
        <f>IF(OR($D9="1 dd",$D9="2 dd",$D9="3 dd",$D9="4 dd",$D9="6 dd",$D9="8 dd",$D9="12 dd",$D9="an",$D9="1 X"),VLOOKUP($D9,PedTblTijden!$A$16:$X$26,PedTblTijden!N$14,FALSE),"")</f>
        <v/>
      </c>
      <c r="U9" s="12" t="str">
        <f>IF(OR($D9="1 dd",$D9="2 dd",$D9="3 dd",$D9="4 dd",$D9="6 dd",$D9="8 dd",$D9="12 dd",$D9="an",$D9="1 X"),VLOOKUP($D9,PedTblTijden!$A$16:$X$26,PedTblTijden!O$14,FALSE),"")</f>
        <v/>
      </c>
      <c r="V9" s="93" t="str">
        <f>IF(OR($D9="1 dd",$D9="2 dd",$D9="3 dd",$D9="4 dd",$D9="6 dd",$D9="8 dd",$D9="12 dd",$D9="an",$D9="1 X"),VLOOKUP($D9,PedTblTijden!$A$16:$X$26,PedTblTijden!P$14,FALSE),"")</f>
        <v/>
      </c>
      <c r="W9" s="12" t="str">
        <f>IF(OR($D9="1 dd",$D9="2 dd",$D9="3 dd",$D9="4 dd",$D9="6 dd",$D9="8 dd",$D9="12 dd",$D9="an",$D9="1 X"),VLOOKUP($D9,PedTblTijden!$A$16:$X$26,PedTblTijden!Q$14,FALSE),"")</f>
        <v/>
      </c>
      <c r="X9" s="93" t="str">
        <f>IF(OR($D9="1 dd",$D9="2 dd",$D9="3 dd",$D9="4 dd",$D9="6 dd",$D9="8 dd",$D9="12 dd",$D9="an",$D9="1 X"),VLOOKUP($D9,PedTblTijden!$A$16:$X$26,PedTblTijden!R$14,FALSE),"")</f>
        <v/>
      </c>
      <c r="Y9" s="12" t="str">
        <f>IF(OR($D9="1 dd",$D9="2 dd",$D9="3 dd",$D9="4 dd",$D9="6 dd",$D9="8 dd",$D9="12 dd",$D9="an",$D9="1 X"),VLOOKUP($D9,PedTblTijden!$A$16:$X$26,PedTblTijden!S$14,FALSE),"")</f>
        <v/>
      </c>
      <c r="Z9" s="93" t="str">
        <f>IF(OR($D9="1 dd",$D9="2 dd",$D9="3 dd",$D9="4 dd",$D9="6 dd",$D9="8 dd",$D9="12 dd",$D9="an",$D9="1 X"),VLOOKUP($D9,PedTblTijden!$A$16:$X$26,PedTblTijden!T$14,FALSE),"")</f>
        <v/>
      </c>
      <c r="AA9" s="12" t="str">
        <f>IF(OR($D9="1 dd",$D9="2 dd",$D9="3 dd",$D9="4 dd",$D9="6 dd",$D9="8 dd",$D9="12 dd",$D9="an",$D9="1 X"),VLOOKUP($D9,PedTblTijden!$A$16:$X$26,PedTblTijden!U$14,FALSE),"")</f>
        <v/>
      </c>
      <c r="AB9" s="93" t="str">
        <f>IF(OR($D9="1 dd",$D9="2 dd",$D9="3 dd",$D9="4 dd",$D9="6 dd",$D9="8 dd",$D9="12 dd",$D9="an",$D9="1 X"),VLOOKUP($D9,PedTblTijden!$A$16:$X$26,PedTblTijden!V$14,FALSE),"")</f>
        <v/>
      </c>
      <c r="AC9" s="12" t="str">
        <f>IF(OR($D9="1 dd",$D9="2 dd",$D9="3 dd",$D9="4 dd",$D9="6 dd",$D9="8 dd",$D9="12 dd",$D9="an",$D9="1 X"),VLOOKUP($D9,PedTblTijden!$A$16:$X$26,PedTblTijden!W$14,FALSE),"")</f>
        <v/>
      </c>
      <c r="AD9" s="93" t="str">
        <f>IF(OR($D9="1 dd",$D9="2 dd",$D9="3 dd",$D9="4 dd",$D9="6 dd",$D9="8 dd",$D9="12 dd",$D9="an",$D9="1 X"),VLOOKUP($D9,PedTblTijden!$A$16:$X$26,PedTblTijden!X$14,FALSE),"")</f>
        <v/>
      </c>
      <c r="AE9" s="14"/>
      <c r="AF9" s="92"/>
      <c r="AG9" s="14"/>
    </row>
    <row r="10" spans="1:33" ht="26.1" customHeight="1" x14ac:dyDescent="0.2">
      <c r="B10" s="94"/>
      <c r="C10" s="125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26" t="str">
        <f>IF(GlobGuiMedDisc!I16&lt;&gt;"",GlobGuiMedDisc!I16,"")</f>
        <v/>
      </c>
      <c r="E10" s="127" t="str">
        <f>IF(AND(D10&lt;&gt;"",D10&lt;&gt;"STOP"),GlobBerMedDisc!H9&amp;" "&amp;GlobBerMedDisc!F9,"")</f>
        <v/>
      </c>
      <c r="F10" s="127" t="str">
        <f>IF(AND(D10&lt;&gt;"",D10&lt;&gt;"STOP"),GlobBerMedDisc!L9," ")</f>
        <v xml:space="preserve"> </v>
      </c>
      <c r="G10" s="127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dd",$D10="6 dd",$D10="8 dd",$D10="12 dd",$D10="an",$D10="1 X"),VLOOKUP($D10,PedTblTijden!$A$16:$X$26,PedTblTijden!B$14,FALSE),"")</f>
        <v/>
      </c>
      <c r="I10" s="12" t="str">
        <f>IF(OR($D10="1 dd",$D10="2 dd",$D10="3 dd",$D10="4 dd",$D10="6 dd",$D10="8 dd",$D10="12 dd",$D10="an",$D10="1 X"),VLOOKUP($D10,PedTblTijden!$A$16:$X$26,PedTblTijden!C$14,FALSE),"")</f>
        <v/>
      </c>
      <c r="J10" s="93" t="str">
        <f>IF(OR($D10="1 dd",$D10="2 dd",$D10="3 dd",$D10="4 dd",$D10="6 dd",$D10="8 dd",$D10="12 dd",$D10="an",$D10="1 X"),VLOOKUP($D10,PedTblTijden!$A$16:$X$26,PedTblTijden!D$14,FALSE),"")</f>
        <v/>
      </c>
      <c r="K10" s="12" t="str">
        <f>IF(OR($D10="1 dd",$D10="2 dd",$D10="3 dd",$D10="4 dd",$D10="6 dd",$D10="8 dd",$D10="12 dd",$D10="an",$D10="1 X"),VLOOKUP($D10,PedTblTijden!$A$16:$X$26,PedTblTijden!E$14,FALSE),"")</f>
        <v/>
      </c>
      <c r="L10" s="93" t="str">
        <f>IF(OR($D10="1 dd",$D10="2 dd",$D10="3 dd",$D10="4 dd",$D10="6 dd",$D10="8 dd",$D10="12 dd",$D10="an",$D10="1 X"),VLOOKUP($D10,PedTblTijden!$A$16:$X$26,PedTblTijden!F$14,FALSE),"")</f>
        <v/>
      </c>
      <c r="M10" s="12" t="str">
        <f>IF(OR($D10="1 dd",$D10="2 dd",$D10="3 dd",$D10="4 dd",$D10="6 dd",$D10="8 dd",$D10="12 dd",$D10="an",$D10="1 X"),VLOOKUP($D10,PedTblTijden!$A$16:$X$26,PedTblTijden!G$14,FALSE),"")</f>
        <v/>
      </c>
      <c r="N10" s="93" t="str">
        <f>IF(OR($D10="1 dd",$D10="2 dd",$D10="3 dd",$D10="4 dd",$D10="6 dd",$D10="8 dd",$D10="12 dd",$D10="an",$D10="1 X"),VLOOKUP($D10,PedTblTijden!$A$16:$X$26,PedTblTijden!H$14,FALSE),"")</f>
        <v/>
      </c>
      <c r="O10" s="12" t="str">
        <f>IF(OR($D10="1 dd",$D10="2 dd",$D10="3 dd",$D10="4 dd",$D10="6 dd",$D10="8 dd",$D10="12 dd",$D10="an",$D10="1 X"),VLOOKUP($D10,PedTblTijden!$A$16:$X$26,PedTblTijden!I$14,FALSE),"")</f>
        <v/>
      </c>
      <c r="P10" s="93" t="str">
        <f>IF(OR($D10="1 dd",$D10="2 dd",$D10="3 dd",$D10="4 dd",$D10="6 dd",$D10="8 dd",$D10="12 dd",$D10="an",$D10="1 X"),VLOOKUP($D10,PedTblTijden!$A$16:$X$26,PedTblTijden!J$14,FALSE),"")</f>
        <v/>
      </c>
      <c r="Q10" s="12" t="str">
        <f>IF(OR($D10="1 dd",$D10="2 dd",$D10="3 dd",$D10="4 dd",$D10="6 dd",$D10="8 dd",$D10="12 dd",$D10="an",$D10="1 X"),VLOOKUP($D10,PedTblTijden!$A$16:$X$26,PedTblTijden!K$14,FALSE),"")</f>
        <v/>
      </c>
      <c r="R10" s="93" t="str">
        <f>IF(OR($D10="1 dd",$D10="2 dd",$D10="3 dd",$D10="4 dd",$D10="6 dd",$D10="8 dd",$D10="12 dd",$D10="an",$D10="1 X"),VLOOKUP($D10,PedTblTijden!$A$16:$X$26,PedTblTijden!L$14,FALSE),"")</f>
        <v/>
      </c>
      <c r="S10" s="12" t="str">
        <f>IF(OR($D10="1 dd",$D10="2 dd",$D10="3 dd",$D10="4 dd",$D10="6 dd",$D10="8 dd",$D10="12 dd",$D10="an",$D10="1 X"),VLOOKUP($D10,PedTblTijden!$A$16:$X$26,PedTblTijden!M$14,FALSE),"")</f>
        <v/>
      </c>
      <c r="T10" s="93" t="str">
        <f>IF(OR($D10="1 dd",$D10="2 dd",$D10="3 dd",$D10="4 dd",$D10="6 dd",$D10="8 dd",$D10="12 dd",$D10="an",$D10="1 X"),VLOOKUP($D10,PedTblTijden!$A$16:$X$26,PedTblTijden!N$14,FALSE),"")</f>
        <v/>
      </c>
      <c r="U10" s="12" t="str">
        <f>IF(OR($D10="1 dd",$D10="2 dd",$D10="3 dd",$D10="4 dd",$D10="6 dd",$D10="8 dd",$D10="12 dd",$D10="an",$D10="1 X"),VLOOKUP($D10,PedTblTijden!$A$16:$X$26,PedTblTijden!O$14,FALSE),"")</f>
        <v/>
      </c>
      <c r="V10" s="93" t="str">
        <f>IF(OR($D10="1 dd",$D10="2 dd",$D10="3 dd",$D10="4 dd",$D10="6 dd",$D10="8 dd",$D10="12 dd",$D10="an",$D10="1 X"),VLOOKUP($D10,PedTblTijden!$A$16:$X$26,PedTblTijden!P$14,FALSE),"")</f>
        <v/>
      </c>
      <c r="W10" s="12" t="str">
        <f>IF(OR($D10="1 dd",$D10="2 dd",$D10="3 dd",$D10="4 dd",$D10="6 dd",$D10="8 dd",$D10="12 dd",$D10="an",$D10="1 X"),VLOOKUP($D10,PedTblTijden!$A$16:$X$26,PedTblTijden!Q$14,FALSE),"")</f>
        <v/>
      </c>
      <c r="X10" s="93" t="str">
        <f>IF(OR($D10="1 dd",$D10="2 dd",$D10="3 dd",$D10="4 dd",$D10="6 dd",$D10="8 dd",$D10="12 dd",$D10="an",$D10="1 X"),VLOOKUP($D10,PedTblTijden!$A$16:$X$26,PedTblTijden!R$14,FALSE),"")</f>
        <v/>
      </c>
      <c r="Y10" s="12" t="str">
        <f>IF(OR($D10="1 dd",$D10="2 dd",$D10="3 dd",$D10="4 dd",$D10="6 dd",$D10="8 dd",$D10="12 dd",$D10="an",$D10="1 X"),VLOOKUP($D10,PedTblTijden!$A$16:$X$26,PedTblTijden!S$14,FALSE),"")</f>
        <v/>
      </c>
      <c r="Z10" s="93" t="str">
        <f>IF(OR($D10="1 dd",$D10="2 dd",$D10="3 dd",$D10="4 dd",$D10="6 dd",$D10="8 dd",$D10="12 dd",$D10="an",$D10="1 X"),VLOOKUP($D10,PedTblTijden!$A$16:$X$26,PedTblTijden!T$14,FALSE),"")</f>
        <v/>
      </c>
      <c r="AA10" s="12" t="str">
        <f>IF(OR($D10="1 dd",$D10="2 dd",$D10="3 dd",$D10="4 dd",$D10="6 dd",$D10="8 dd",$D10="12 dd",$D10="an",$D10="1 X"),VLOOKUP($D10,PedTblTijden!$A$16:$X$26,PedTblTijden!U$14,FALSE),"")</f>
        <v/>
      </c>
      <c r="AB10" s="93" t="str">
        <f>IF(OR($D10="1 dd",$D10="2 dd",$D10="3 dd",$D10="4 dd",$D10="6 dd",$D10="8 dd",$D10="12 dd",$D10="an",$D10="1 X"),VLOOKUP($D10,PedTblTijden!$A$16:$X$26,PedTblTijden!V$14,FALSE),"")</f>
        <v/>
      </c>
      <c r="AC10" s="12" t="str">
        <f>IF(OR($D10="1 dd",$D10="2 dd",$D10="3 dd",$D10="4 dd",$D10="6 dd",$D10="8 dd",$D10="12 dd",$D10="an",$D10="1 X"),VLOOKUP($D10,PedTblTijden!$A$16:$X$26,PedTblTijden!W$14,FALSE),"")</f>
        <v/>
      </c>
      <c r="AD10" s="93" t="str">
        <f>IF(OR($D10="1 dd",$D10="2 dd",$D10="3 dd",$D10="4 dd",$D10="6 dd",$D10="8 dd",$D10="12 dd",$D10="an",$D10="1 X"),VLOOKUP($D10,PedTblTijden!$A$16:$X$26,PedTblTijden!X$14,FALSE),"")</f>
        <v/>
      </c>
      <c r="AE10" s="14"/>
      <c r="AF10" s="92"/>
      <c r="AG10" s="14"/>
    </row>
    <row r="11" spans="1:33" ht="26.1" customHeight="1" x14ac:dyDescent="0.2">
      <c r="B11" s="94"/>
      <c r="C11" s="125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26" t="str">
        <f>IF(GlobGuiMedDisc!I17&lt;&gt;"",GlobGuiMedDisc!I17,"")</f>
        <v/>
      </c>
      <c r="E11" s="127" t="str">
        <f>IF(AND(D11&lt;&gt;"",D11&lt;&gt;"STOP"),GlobBerMedDisc!H10&amp;" "&amp;GlobBerMedDisc!F10,"")</f>
        <v/>
      </c>
      <c r="F11" s="127" t="str">
        <f>IF(AND(D11&lt;&gt;"",D11&lt;&gt;"STOP"),GlobBerMedDisc!L10," ")</f>
        <v xml:space="preserve"> </v>
      </c>
      <c r="G11" s="127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dd",$D11="6 dd",$D11="8 dd",$D11="12 dd",$D11="an",$D11="1 X"),VLOOKUP($D11,PedTblTijden!$A$16:$X$26,PedTblTijden!B$14,FALSE),"")</f>
        <v/>
      </c>
      <c r="I11" s="12" t="str">
        <f>IF(OR($D11="1 dd",$D11="2 dd",$D11="3 dd",$D11="4 dd",$D11="6 dd",$D11="8 dd",$D11="12 dd",$D11="an",$D11="1 X"),VLOOKUP($D11,PedTblTijden!$A$16:$X$26,PedTblTijden!C$14,FALSE),"")</f>
        <v/>
      </c>
      <c r="J11" s="93" t="str">
        <f>IF(OR($D11="1 dd",$D11="2 dd",$D11="3 dd",$D11="4 dd",$D11="6 dd",$D11="8 dd",$D11="12 dd",$D11="an",$D11="1 X"),VLOOKUP($D11,PedTblTijden!$A$16:$X$26,PedTblTijden!D$14,FALSE),"")</f>
        <v/>
      </c>
      <c r="K11" s="12" t="str">
        <f>IF(OR($D11="1 dd",$D11="2 dd",$D11="3 dd",$D11="4 dd",$D11="6 dd",$D11="8 dd",$D11="12 dd",$D11="an",$D11="1 X"),VLOOKUP($D11,PedTblTijden!$A$16:$X$26,PedTblTijden!E$14,FALSE),"")</f>
        <v/>
      </c>
      <c r="L11" s="93" t="str">
        <f>IF(OR($D11="1 dd",$D11="2 dd",$D11="3 dd",$D11="4 dd",$D11="6 dd",$D11="8 dd",$D11="12 dd",$D11="an",$D11="1 X"),VLOOKUP($D11,PedTblTijden!$A$16:$X$26,PedTblTijden!F$14,FALSE),"")</f>
        <v/>
      </c>
      <c r="M11" s="12" t="str">
        <f>IF(OR($D11="1 dd",$D11="2 dd",$D11="3 dd",$D11="4 dd",$D11="6 dd",$D11="8 dd",$D11="12 dd",$D11="an",$D11="1 X"),VLOOKUP($D11,PedTblTijden!$A$16:$X$26,PedTblTijden!G$14,FALSE),"")</f>
        <v/>
      </c>
      <c r="N11" s="93" t="str">
        <f>IF(OR($D11="1 dd",$D11="2 dd",$D11="3 dd",$D11="4 dd",$D11="6 dd",$D11="8 dd",$D11="12 dd",$D11="an",$D11="1 X"),VLOOKUP($D11,PedTblTijden!$A$16:$X$26,PedTblTijden!H$14,FALSE),"")</f>
        <v/>
      </c>
      <c r="O11" s="12" t="str">
        <f>IF(OR($D11="1 dd",$D11="2 dd",$D11="3 dd",$D11="4 dd",$D11="6 dd",$D11="8 dd",$D11="12 dd",$D11="an",$D11="1 X"),VLOOKUP($D11,PedTblTijden!$A$16:$X$26,PedTblTijden!I$14,FALSE),"")</f>
        <v/>
      </c>
      <c r="P11" s="93" t="str">
        <f>IF(OR($D11="1 dd",$D11="2 dd",$D11="3 dd",$D11="4 dd",$D11="6 dd",$D11="8 dd",$D11="12 dd",$D11="an",$D11="1 X"),VLOOKUP($D11,PedTblTijden!$A$16:$X$26,PedTblTijden!J$14,FALSE),"")</f>
        <v/>
      </c>
      <c r="Q11" s="12" t="str">
        <f>IF(OR($D11="1 dd",$D11="2 dd",$D11="3 dd",$D11="4 dd",$D11="6 dd",$D11="8 dd",$D11="12 dd",$D11="an",$D11="1 X"),VLOOKUP($D11,PedTblTijden!$A$16:$X$26,PedTblTijden!K$14,FALSE),"")</f>
        <v/>
      </c>
      <c r="R11" s="93" t="str">
        <f>IF(OR($D11="1 dd",$D11="2 dd",$D11="3 dd",$D11="4 dd",$D11="6 dd",$D11="8 dd",$D11="12 dd",$D11="an",$D11="1 X"),VLOOKUP($D11,PedTblTijden!$A$16:$X$26,PedTblTijden!L$14,FALSE),"")</f>
        <v/>
      </c>
      <c r="S11" s="12" t="str">
        <f>IF(OR($D11="1 dd",$D11="2 dd",$D11="3 dd",$D11="4 dd",$D11="6 dd",$D11="8 dd",$D11="12 dd",$D11="an",$D11="1 X"),VLOOKUP($D11,PedTblTijden!$A$16:$X$26,PedTblTijden!M$14,FALSE),"")</f>
        <v/>
      </c>
      <c r="T11" s="93" t="str">
        <f>IF(OR($D11="1 dd",$D11="2 dd",$D11="3 dd",$D11="4 dd",$D11="6 dd",$D11="8 dd",$D11="12 dd",$D11="an",$D11="1 X"),VLOOKUP($D11,PedTblTijden!$A$16:$X$26,PedTblTijden!N$14,FALSE),"")</f>
        <v/>
      </c>
      <c r="U11" s="12" t="str">
        <f>IF(OR($D11="1 dd",$D11="2 dd",$D11="3 dd",$D11="4 dd",$D11="6 dd",$D11="8 dd",$D11="12 dd",$D11="an",$D11="1 X"),VLOOKUP($D11,PedTblTijden!$A$16:$X$26,PedTblTijden!O$14,FALSE),"")</f>
        <v/>
      </c>
      <c r="V11" s="93" t="str">
        <f>IF(OR($D11="1 dd",$D11="2 dd",$D11="3 dd",$D11="4 dd",$D11="6 dd",$D11="8 dd",$D11="12 dd",$D11="an",$D11="1 X"),VLOOKUP($D11,PedTblTijden!$A$16:$X$26,PedTblTijden!P$14,FALSE),"")</f>
        <v/>
      </c>
      <c r="W11" s="12" t="str">
        <f>IF(OR($D11="1 dd",$D11="2 dd",$D11="3 dd",$D11="4 dd",$D11="6 dd",$D11="8 dd",$D11="12 dd",$D11="an",$D11="1 X"),VLOOKUP($D11,PedTblTijden!$A$16:$X$26,PedTblTijden!Q$14,FALSE),"")</f>
        <v/>
      </c>
      <c r="X11" s="93" t="str">
        <f>IF(OR($D11="1 dd",$D11="2 dd",$D11="3 dd",$D11="4 dd",$D11="6 dd",$D11="8 dd",$D11="12 dd",$D11="an",$D11="1 X"),VLOOKUP($D11,PedTblTijden!$A$16:$X$26,PedTblTijden!R$14,FALSE),"")</f>
        <v/>
      </c>
      <c r="Y11" s="12" t="str">
        <f>IF(OR($D11="1 dd",$D11="2 dd",$D11="3 dd",$D11="4 dd",$D11="6 dd",$D11="8 dd",$D11="12 dd",$D11="an",$D11="1 X"),VLOOKUP($D11,PedTblTijden!$A$16:$X$26,PedTblTijden!S$14,FALSE),"")</f>
        <v/>
      </c>
      <c r="Z11" s="93" t="str">
        <f>IF(OR($D11="1 dd",$D11="2 dd",$D11="3 dd",$D11="4 dd",$D11="6 dd",$D11="8 dd",$D11="12 dd",$D11="an",$D11="1 X"),VLOOKUP($D11,PedTblTijden!$A$16:$X$26,PedTblTijden!T$14,FALSE),"")</f>
        <v/>
      </c>
      <c r="AA11" s="12" t="str">
        <f>IF(OR($D11="1 dd",$D11="2 dd",$D11="3 dd",$D11="4 dd",$D11="6 dd",$D11="8 dd",$D11="12 dd",$D11="an",$D11="1 X"),VLOOKUP($D11,PedTblTijden!$A$16:$X$26,PedTblTijden!U$14,FALSE),"")</f>
        <v/>
      </c>
      <c r="AB11" s="93" t="str">
        <f>IF(OR($D11="1 dd",$D11="2 dd",$D11="3 dd",$D11="4 dd",$D11="6 dd",$D11="8 dd",$D11="12 dd",$D11="an",$D11="1 X"),VLOOKUP($D11,PedTblTijden!$A$16:$X$26,PedTblTijden!V$14,FALSE),"")</f>
        <v/>
      </c>
      <c r="AC11" s="12" t="str">
        <f>IF(OR($D11="1 dd",$D11="2 dd",$D11="3 dd",$D11="4 dd",$D11="6 dd",$D11="8 dd",$D11="12 dd",$D11="an",$D11="1 X"),VLOOKUP($D11,PedTblTijden!$A$16:$X$26,PedTblTijden!W$14,FALSE),"")</f>
        <v/>
      </c>
      <c r="AD11" s="93" t="str">
        <f>IF(OR($D11="1 dd",$D11="2 dd",$D11="3 dd",$D11="4 dd",$D11="6 dd",$D11="8 dd",$D11="12 dd",$D11="an",$D11="1 X"),VLOOKUP($D11,PedTblTijden!$A$16:$X$26,PedTblTijden!X$14,FALSE),"")</f>
        <v/>
      </c>
      <c r="AE11" s="14"/>
      <c r="AF11" s="92"/>
      <c r="AG11" s="14"/>
    </row>
    <row r="12" spans="1:33" ht="26.1" customHeight="1" x14ac:dyDescent="0.2">
      <c r="B12" s="94"/>
      <c r="C12" s="125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26" t="str">
        <f>IF(GlobGuiMedDisc!I18&lt;&gt;"",GlobGuiMedDisc!I18,"")</f>
        <v/>
      </c>
      <c r="E12" s="127" t="str">
        <f>IF(AND(D12&lt;&gt;"",D12&lt;&gt;"STOP"),GlobBerMedDisc!H11&amp;" "&amp;GlobBerMedDisc!F11,"")</f>
        <v/>
      </c>
      <c r="F12" s="127" t="str">
        <f>IF(AND(D12&lt;&gt;"",D12&lt;&gt;"STOP"),GlobBerMedDisc!L11," ")</f>
        <v xml:space="preserve"> </v>
      </c>
      <c r="G12" s="127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dd",$D12="6 dd",$D12="8 dd",$D12="12 dd",$D12="an",$D12="1 X"),VLOOKUP($D12,PedTblTijden!$A$16:$X$26,PedTblTijden!B$14,FALSE),"")</f>
        <v/>
      </c>
      <c r="I12" s="12" t="str">
        <f>IF(OR($D12="1 dd",$D12="2 dd",$D12="3 dd",$D12="4 dd",$D12="6 dd",$D12="8 dd",$D12="12 dd",$D12="an",$D12="1 X"),VLOOKUP($D12,PedTblTijden!$A$16:$X$26,PedTblTijden!C$14,FALSE),"")</f>
        <v/>
      </c>
      <c r="J12" s="93" t="str">
        <f>IF(OR($D12="1 dd",$D12="2 dd",$D12="3 dd",$D12="4 dd",$D12="6 dd",$D12="8 dd",$D12="12 dd",$D12="an",$D12="1 X"),VLOOKUP($D12,PedTblTijden!$A$16:$X$26,PedTblTijden!D$14,FALSE),"")</f>
        <v/>
      </c>
      <c r="K12" s="12" t="str">
        <f>IF(OR($D12="1 dd",$D12="2 dd",$D12="3 dd",$D12="4 dd",$D12="6 dd",$D12="8 dd",$D12="12 dd",$D12="an",$D12="1 X"),VLOOKUP($D12,PedTblTijden!$A$16:$X$26,PedTblTijden!E$14,FALSE),"")</f>
        <v/>
      </c>
      <c r="L12" s="93" t="str">
        <f>IF(OR($D12="1 dd",$D12="2 dd",$D12="3 dd",$D12="4 dd",$D12="6 dd",$D12="8 dd",$D12="12 dd",$D12="an",$D12="1 X"),VLOOKUP($D12,PedTblTijden!$A$16:$X$26,PedTblTijden!F$14,FALSE),"")</f>
        <v/>
      </c>
      <c r="M12" s="12" t="str">
        <f>IF(OR($D12="1 dd",$D12="2 dd",$D12="3 dd",$D12="4 dd",$D12="6 dd",$D12="8 dd",$D12="12 dd",$D12="an",$D12="1 X"),VLOOKUP($D12,PedTblTijden!$A$16:$X$26,PedTblTijden!G$14,FALSE),"")</f>
        <v/>
      </c>
      <c r="N12" s="93" t="str">
        <f>IF(OR($D12="1 dd",$D12="2 dd",$D12="3 dd",$D12="4 dd",$D12="6 dd",$D12="8 dd",$D12="12 dd",$D12="an",$D12="1 X"),VLOOKUP($D12,PedTblTijden!$A$16:$X$26,PedTblTijden!H$14,FALSE),"")</f>
        <v/>
      </c>
      <c r="O12" s="12" t="str">
        <f>IF(OR($D12="1 dd",$D12="2 dd",$D12="3 dd",$D12="4 dd",$D12="6 dd",$D12="8 dd",$D12="12 dd",$D12="an",$D12="1 X"),VLOOKUP($D12,PedTblTijden!$A$16:$X$26,PedTblTijden!I$14,FALSE),"")</f>
        <v/>
      </c>
      <c r="P12" s="93" t="str">
        <f>IF(OR($D12="1 dd",$D12="2 dd",$D12="3 dd",$D12="4 dd",$D12="6 dd",$D12="8 dd",$D12="12 dd",$D12="an",$D12="1 X"),VLOOKUP($D12,PedTblTijden!$A$16:$X$26,PedTblTijden!J$14,FALSE),"")</f>
        <v/>
      </c>
      <c r="Q12" s="12" t="str">
        <f>IF(OR($D12="1 dd",$D12="2 dd",$D12="3 dd",$D12="4 dd",$D12="6 dd",$D12="8 dd",$D12="12 dd",$D12="an",$D12="1 X"),VLOOKUP($D12,PedTblTijden!$A$16:$X$26,PedTblTijden!K$14,FALSE),"")</f>
        <v/>
      </c>
      <c r="R12" s="93" t="str">
        <f>IF(OR($D12="1 dd",$D12="2 dd",$D12="3 dd",$D12="4 dd",$D12="6 dd",$D12="8 dd",$D12="12 dd",$D12="an",$D12="1 X"),VLOOKUP($D12,PedTblTijden!$A$16:$X$26,PedTblTijden!L$14,FALSE),"")</f>
        <v/>
      </c>
      <c r="S12" s="12" t="str">
        <f>IF(OR($D12="1 dd",$D12="2 dd",$D12="3 dd",$D12="4 dd",$D12="6 dd",$D12="8 dd",$D12="12 dd",$D12="an",$D12="1 X"),VLOOKUP($D12,PedTblTijden!$A$16:$X$26,PedTblTijden!M$14,FALSE),"")</f>
        <v/>
      </c>
      <c r="T12" s="93" t="str">
        <f>IF(OR($D12="1 dd",$D12="2 dd",$D12="3 dd",$D12="4 dd",$D12="6 dd",$D12="8 dd",$D12="12 dd",$D12="an",$D12="1 X"),VLOOKUP($D12,PedTblTijden!$A$16:$X$26,PedTblTijden!N$14,FALSE),"")</f>
        <v/>
      </c>
      <c r="U12" s="12" t="str">
        <f>IF(OR($D12="1 dd",$D12="2 dd",$D12="3 dd",$D12="4 dd",$D12="6 dd",$D12="8 dd",$D12="12 dd",$D12="an",$D12="1 X"),VLOOKUP($D12,PedTblTijden!$A$16:$X$26,PedTblTijden!O$14,FALSE),"")</f>
        <v/>
      </c>
      <c r="V12" s="93" t="str">
        <f>IF(OR($D12="1 dd",$D12="2 dd",$D12="3 dd",$D12="4 dd",$D12="6 dd",$D12="8 dd",$D12="12 dd",$D12="an",$D12="1 X"),VLOOKUP($D12,PedTblTijden!$A$16:$X$26,PedTblTijden!P$14,FALSE),"")</f>
        <v/>
      </c>
      <c r="W12" s="12" t="str">
        <f>IF(OR($D12="1 dd",$D12="2 dd",$D12="3 dd",$D12="4 dd",$D12="6 dd",$D12="8 dd",$D12="12 dd",$D12="an",$D12="1 X"),VLOOKUP($D12,PedTblTijden!$A$16:$X$26,PedTblTijden!Q$14,FALSE),"")</f>
        <v/>
      </c>
      <c r="X12" s="93" t="str">
        <f>IF(OR($D12="1 dd",$D12="2 dd",$D12="3 dd",$D12="4 dd",$D12="6 dd",$D12="8 dd",$D12="12 dd",$D12="an",$D12="1 X"),VLOOKUP($D12,PedTblTijden!$A$16:$X$26,PedTblTijden!R$14,FALSE),"")</f>
        <v/>
      </c>
      <c r="Y12" s="12" t="str">
        <f>IF(OR($D12="1 dd",$D12="2 dd",$D12="3 dd",$D12="4 dd",$D12="6 dd",$D12="8 dd",$D12="12 dd",$D12="an",$D12="1 X"),VLOOKUP($D12,PedTblTijden!$A$16:$X$26,PedTblTijden!S$14,FALSE),"")</f>
        <v/>
      </c>
      <c r="Z12" s="93" t="str">
        <f>IF(OR($D12="1 dd",$D12="2 dd",$D12="3 dd",$D12="4 dd",$D12="6 dd",$D12="8 dd",$D12="12 dd",$D12="an",$D12="1 X"),VLOOKUP($D12,PedTblTijden!$A$16:$X$26,PedTblTijden!T$14,FALSE),"")</f>
        <v/>
      </c>
      <c r="AA12" s="12" t="str">
        <f>IF(OR($D12="1 dd",$D12="2 dd",$D12="3 dd",$D12="4 dd",$D12="6 dd",$D12="8 dd",$D12="12 dd",$D12="an",$D12="1 X"),VLOOKUP($D12,PedTblTijden!$A$16:$X$26,PedTblTijden!U$14,FALSE),"")</f>
        <v/>
      </c>
      <c r="AB12" s="93" t="str">
        <f>IF(OR($D12="1 dd",$D12="2 dd",$D12="3 dd",$D12="4 dd",$D12="6 dd",$D12="8 dd",$D12="12 dd",$D12="an",$D12="1 X"),VLOOKUP($D12,PedTblTijden!$A$16:$X$26,PedTblTijden!V$14,FALSE),"")</f>
        <v/>
      </c>
      <c r="AC12" s="12" t="str">
        <f>IF(OR($D12="1 dd",$D12="2 dd",$D12="3 dd",$D12="4 dd",$D12="6 dd",$D12="8 dd",$D12="12 dd",$D12="an",$D12="1 X"),VLOOKUP($D12,PedTblTijden!$A$16:$X$26,PedTblTijden!W$14,FALSE),"")</f>
        <v/>
      </c>
      <c r="AD12" s="93" t="str">
        <f>IF(OR($D12="1 dd",$D12="2 dd",$D12="3 dd",$D12="4 dd",$D12="6 dd",$D12="8 dd",$D12="12 dd",$D12="an",$D12="1 X"),VLOOKUP($D12,PedTblTijden!$A$16:$X$26,PedTblTijden!X$14,FALSE),"")</f>
        <v/>
      </c>
      <c r="AE12" s="14"/>
      <c r="AF12" s="92"/>
      <c r="AG12" s="14"/>
    </row>
    <row r="13" spans="1:33" ht="26.1" customHeight="1" x14ac:dyDescent="0.2">
      <c r="B13" s="94"/>
      <c r="C13" s="125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26" t="str">
        <f>IF(GlobGuiMedDisc!I19&lt;&gt;"",GlobGuiMedDisc!I19,"")</f>
        <v/>
      </c>
      <c r="E13" s="127" t="str">
        <f>IF(AND(D13&lt;&gt;"",D13&lt;&gt;"STOP"),GlobBerMedDisc!H12&amp;" "&amp;GlobBerMedDisc!F12,"")</f>
        <v/>
      </c>
      <c r="F13" s="127" t="str">
        <f>IF(AND(D13&lt;&gt;"",D13&lt;&gt;"STOP"),GlobBerMedDisc!L12," ")</f>
        <v xml:space="preserve"> </v>
      </c>
      <c r="G13" s="127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dd",$D13="6 dd",$D13="8 dd",$D13="12 dd",$D13="an",$D13="1 X"),VLOOKUP($D13,PedTblTijden!$A$16:$X$26,PedTblTijden!B$14,FALSE),"")</f>
        <v/>
      </c>
      <c r="I13" s="12" t="str">
        <f>IF(OR($D13="1 dd",$D13="2 dd",$D13="3 dd",$D13="4 dd",$D13="6 dd",$D13="8 dd",$D13="12 dd",$D13="an",$D13="1 X"),VLOOKUP($D13,PedTblTijden!$A$16:$X$26,PedTblTijden!C$14,FALSE),"")</f>
        <v/>
      </c>
      <c r="J13" s="93" t="str">
        <f>IF(OR($D13="1 dd",$D13="2 dd",$D13="3 dd",$D13="4 dd",$D13="6 dd",$D13="8 dd",$D13="12 dd",$D13="an",$D13="1 X"),VLOOKUP($D13,PedTblTijden!$A$16:$X$26,PedTblTijden!D$14,FALSE),"")</f>
        <v/>
      </c>
      <c r="K13" s="12" t="str">
        <f>IF(OR($D13="1 dd",$D13="2 dd",$D13="3 dd",$D13="4 dd",$D13="6 dd",$D13="8 dd",$D13="12 dd",$D13="an",$D13="1 X"),VLOOKUP($D13,PedTblTijden!$A$16:$X$26,PedTblTijden!E$14,FALSE),"")</f>
        <v/>
      </c>
      <c r="L13" s="93" t="str">
        <f>IF(OR($D13="1 dd",$D13="2 dd",$D13="3 dd",$D13="4 dd",$D13="6 dd",$D13="8 dd",$D13="12 dd",$D13="an",$D13="1 X"),VLOOKUP($D13,PedTblTijden!$A$16:$X$26,PedTblTijden!F$14,FALSE),"")</f>
        <v/>
      </c>
      <c r="M13" s="12" t="str">
        <f>IF(OR($D13="1 dd",$D13="2 dd",$D13="3 dd",$D13="4 dd",$D13="6 dd",$D13="8 dd",$D13="12 dd",$D13="an",$D13="1 X"),VLOOKUP($D13,PedTblTijden!$A$16:$X$26,PedTblTijden!G$14,FALSE),"")</f>
        <v/>
      </c>
      <c r="N13" s="93" t="str">
        <f>IF(OR($D13="1 dd",$D13="2 dd",$D13="3 dd",$D13="4 dd",$D13="6 dd",$D13="8 dd",$D13="12 dd",$D13="an",$D13="1 X"),VLOOKUP($D13,PedTblTijden!$A$16:$X$26,PedTblTijden!H$14,FALSE),"")</f>
        <v/>
      </c>
      <c r="O13" s="12" t="str">
        <f>IF(OR($D13="1 dd",$D13="2 dd",$D13="3 dd",$D13="4 dd",$D13="6 dd",$D13="8 dd",$D13="12 dd",$D13="an",$D13="1 X"),VLOOKUP($D13,PedTblTijden!$A$16:$X$26,PedTblTijden!I$14,FALSE),"")</f>
        <v/>
      </c>
      <c r="P13" s="93" t="str">
        <f>IF(OR($D13="1 dd",$D13="2 dd",$D13="3 dd",$D13="4 dd",$D13="6 dd",$D13="8 dd",$D13="12 dd",$D13="an",$D13="1 X"),VLOOKUP($D13,PedTblTijden!$A$16:$X$26,PedTblTijden!J$14,FALSE),"")</f>
        <v/>
      </c>
      <c r="Q13" s="12" t="str">
        <f>IF(OR($D13="1 dd",$D13="2 dd",$D13="3 dd",$D13="4 dd",$D13="6 dd",$D13="8 dd",$D13="12 dd",$D13="an",$D13="1 X"),VLOOKUP($D13,PedTblTijden!$A$16:$X$26,PedTblTijden!K$14,FALSE),"")</f>
        <v/>
      </c>
      <c r="R13" s="93" t="str">
        <f>IF(OR($D13="1 dd",$D13="2 dd",$D13="3 dd",$D13="4 dd",$D13="6 dd",$D13="8 dd",$D13="12 dd",$D13="an",$D13="1 X"),VLOOKUP($D13,PedTblTijden!$A$16:$X$26,PedTblTijden!L$14,FALSE),"")</f>
        <v/>
      </c>
      <c r="S13" s="12" t="str">
        <f>IF(OR($D13="1 dd",$D13="2 dd",$D13="3 dd",$D13="4 dd",$D13="6 dd",$D13="8 dd",$D13="12 dd",$D13="an",$D13="1 X"),VLOOKUP($D13,PedTblTijden!$A$16:$X$26,PedTblTijden!M$14,FALSE),"")</f>
        <v/>
      </c>
      <c r="T13" s="93" t="str">
        <f>IF(OR($D13="1 dd",$D13="2 dd",$D13="3 dd",$D13="4 dd",$D13="6 dd",$D13="8 dd",$D13="12 dd",$D13="an",$D13="1 X"),VLOOKUP($D13,PedTblTijden!$A$16:$X$26,PedTblTijden!N$14,FALSE),"")</f>
        <v/>
      </c>
      <c r="U13" s="12" t="str">
        <f>IF(OR($D13="1 dd",$D13="2 dd",$D13="3 dd",$D13="4 dd",$D13="6 dd",$D13="8 dd",$D13="12 dd",$D13="an",$D13="1 X"),VLOOKUP($D13,PedTblTijden!$A$16:$X$26,PedTblTijden!O$14,FALSE),"")</f>
        <v/>
      </c>
      <c r="V13" s="93" t="str">
        <f>IF(OR($D13="1 dd",$D13="2 dd",$D13="3 dd",$D13="4 dd",$D13="6 dd",$D13="8 dd",$D13="12 dd",$D13="an",$D13="1 X"),VLOOKUP($D13,PedTblTijden!$A$16:$X$26,PedTblTijden!P$14,FALSE),"")</f>
        <v/>
      </c>
      <c r="W13" s="12" t="str">
        <f>IF(OR($D13="1 dd",$D13="2 dd",$D13="3 dd",$D13="4 dd",$D13="6 dd",$D13="8 dd",$D13="12 dd",$D13="an",$D13="1 X"),VLOOKUP($D13,PedTblTijden!$A$16:$X$26,PedTblTijden!Q$14,FALSE),"")</f>
        <v/>
      </c>
      <c r="X13" s="93" t="str">
        <f>IF(OR($D13="1 dd",$D13="2 dd",$D13="3 dd",$D13="4 dd",$D13="6 dd",$D13="8 dd",$D13="12 dd",$D13="an",$D13="1 X"),VLOOKUP($D13,PedTblTijden!$A$16:$X$26,PedTblTijden!R$14,FALSE),"")</f>
        <v/>
      </c>
      <c r="Y13" s="12" t="str">
        <f>IF(OR($D13="1 dd",$D13="2 dd",$D13="3 dd",$D13="4 dd",$D13="6 dd",$D13="8 dd",$D13="12 dd",$D13="an",$D13="1 X"),VLOOKUP($D13,PedTblTijden!$A$16:$X$26,PedTblTijden!S$14,FALSE),"")</f>
        <v/>
      </c>
      <c r="Z13" s="93" t="str">
        <f>IF(OR($D13="1 dd",$D13="2 dd",$D13="3 dd",$D13="4 dd",$D13="6 dd",$D13="8 dd",$D13="12 dd",$D13="an",$D13="1 X"),VLOOKUP($D13,PedTblTijden!$A$16:$X$26,PedTblTijden!T$14,FALSE),"")</f>
        <v/>
      </c>
      <c r="AA13" s="12" t="str">
        <f>IF(OR($D13="1 dd",$D13="2 dd",$D13="3 dd",$D13="4 dd",$D13="6 dd",$D13="8 dd",$D13="12 dd",$D13="an",$D13="1 X"),VLOOKUP($D13,PedTblTijden!$A$16:$X$26,PedTblTijden!U$14,FALSE),"")</f>
        <v/>
      </c>
      <c r="AB13" s="93" t="str">
        <f>IF(OR($D13="1 dd",$D13="2 dd",$D13="3 dd",$D13="4 dd",$D13="6 dd",$D13="8 dd",$D13="12 dd",$D13="an",$D13="1 X"),VLOOKUP($D13,PedTblTijden!$A$16:$X$26,PedTblTijden!V$14,FALSE),"")</f>
        <v/>
      </c>
      <c r="AC13" s="12" t="str">
        <f>IF(OR($D13="1 dd",$D13="2 dd",$D13="3 dd",$D13="4 dd",$D13="6 dd",$D13="8 dd",$D13="12 dd",$D13="an",$D13="1 X"),VLOOKUP($D13,PedTblTijden!$A$16:$X$26,PedTblTijden!W$14,FALSE),"")</f>
        <v/>
      </c>
      <c r="AD13" s="93" t="str">
        <f>IF(OR($D13="1 dd",$D13="2 dd",$D13="3 dd",$D13="4 dd",$D13="6 dd",$D13="8 dd",$D13="12 dd",$D13="an",$D13="1 X"),VLOOKUP($D13,PedTblTijden!$A$16:$X$26,PedTblTijden!X$14,FALSE),"")</f>
        <v/>
      </c>
      <c r="AE13" s="14"/>
      <c r="AF13" s="92"/>
      <c r="AG13" s="14"/>
    </row>
    <row r="14" spans="1:33" ht="26.1" customHeight="1" x14ac:dyDescent="0.2">
      <c r="B14" s="94"/>
      <c r="C14" s="125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26" t="str">
        <f>IF(GlobGuiMedDisc!I20&lt;&gt;"",GlobGuiMedDisc!I20,"")</f>
        <v/>
      </c>
      <c r="E14" s="127" t="str">
        <f>IF(AND(D14&lt;&gt;"",D14&lt;&gt;"STOP"),GlobBerMedDisc!H13&amp;" "&amp;GlobBerMedDisc!F13,"")</f>
        <v/>
      </c>
      <c r="F14" s="127" t="str">
        <f>IF(AND(D14&lt;&gt;"",D14&lt;&gt;"STOP"),GlobBerMedDisc!L13," ")</f>
        <v xml:space="preserve"> </v>
      </c>
      <c r="G14" s="127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25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26" t="str">
        <f>IF(GlobGuiMedDisc!I21&lt;&gt;"",GlobGuiMedDisc!I21,"")</f>
        <v/>
      </c>
      <c r="E15" s="127" t="str">
        <f>IF(AND(D15&lt;&gt;"",D15&lt;&gt;"STOP"),GlobBerMedDisc!H14&amp;" "&amp;GlobBerMedDisc!F14,"")</f>
        <v/>
      </c>
      <c r="F15" s="127" t="str">
        <f>IF(AND(D15&lt;&gt;"",D15&lt;&gt;"STOP"),GlobBerMedDisc!L14," ")</f>
        <v xml:space="preserve"> </v>
      </c>
      <c r="G15" s="127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25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26" t="str">
        <f>IF(GlobGuiMedDisc!I22&lt;&gt;"",GlobGuiMedDisc!I22,"")</f>
        <v/>
      </c>
      <c r="E16" s="127" t="str">
        <f>IF(AND(D16&lt;&gt;"",D16&lt;&gt;"STOP"),GlobBerMedDisc!H15&amp;" "&amp;GlobBerMedDisc!F15,"")</f>
        <v/>
      </c>
      <c r="F16" s="127" t="str">
        <f>IF(AND(D16&lt;&gt;"",D16&lt;&gt;"STOP"),GlobBerMedDisc!L15," ")</f>
        <v xml:space="preserve"> </v>
      </c>
      <c r="G16" s="127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25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26" t="str">
        <f>IF(GlobGuiMedDisc!I23&lt;&gt;"",GlobGuiMedDisc!I23,"")</f>
        <v/>
      </c>
      <c r="E17" s="127" t="str">
        <f>IF(AND(D17&lt;&gt;"",D17&lt;&gt;"STOP"),GlobBerMedDisc!H16&amp;" "&amp;GlobBerMedDisc!F16,"")</f>
        <v/>
      </c>
      <c r="F17" s="127" t="str">
        <f>IF(AND(D17&lt;&gt;"",D17&lt;&gt;"STOP"),GlobBerMedDisc!L16," ")</f>
        <v xml:space="preserve"> </v>
      </c>
      <c r="G17" s="127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25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26" t="str">
        <f>IF(GlobGuiMedDisc!I24&lt;&gt;"",GlobGuiMedDisc!I24,"")</f>
        <v/>
      </c>
      <c r="E18" s="127" t="str">
        <f>IF(AND(D18&lt;&gt;"",D18&lt;&gt;"STOP"),GlobBerMedDisc!H17&amp;" "&amp;GlobBerMedDisc!F17,"")</f>
        <v/>
      </c>
      <c r="F18" s="127" t="str">
        <f>IF(AND(D18&lt;&gt;"",D18&lt;&gt;"STOP"),GlobBerMedDisc!L17," ")</f>
        <v xml:space="preserve"> </v>
      </c>
      <c r="G18" s="127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25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26" t="str">
        <f>IF(GlobGuiMedDisc!I25&lt;&gt;"",GlobGuiMedDisc!I25,"")</f>
        <v/>
      </c>
      <c r="E19" s="127" t="str">
        <f>IF(AND(D19&lt;&gt;"",D19&lt;&gt;"STOP"),GlobBerMedDisc!H18&amp;" "&amp;GlobBerMedDisc!F18,"")</f>
        <v/>
      </c>
      <c r="F19" s="127" t="str">
        <f>IF(AND(D19&lt;&gt;"",D19&lt;&gt;"STOP"),GlobBerMedDisc!L18," ")</f>
        <v xml:space="preserve"> </v>
      </c>
      <c r="G19" s="127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25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26" t="str">
        <f>IF(GlobGuiMedDisc!I26&lt;&gt;"",GlobGuiMedDisc!I26,"")</f>
        <v/>
      </c>
      <c r="E20" s="127" t="str">
        <f>IF(AND(D20&lt;&gt;"",D20&lt;&gt;"STOP"),GlobBerMedDisc!H19&amp;" "&amp;GlobBerMedDisc!F19,"")</f>
        <v/>
      </c>
      <c r="F20" s="127" t="str">
        <f>IF(AND(D20&lt;&gt;"",D20&lt;&gt;"STOP"),GlobBerMedDisc!L19," ")</f>
        <v xml:space="preserve"> </v>
      </c>
      <c r="G20" s="127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25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26" t="str">
        <f>IF(GlobGuiMedDisc!I27&lt;&gt;"",GlobGuiMedDisc!I27,"")</f>
        <v/>
      </c>
      <c r="E21" s="127" t="str">
        <f>IF(AND(D21&lt;&gt;"",D21&lt;&gt;"STOP"),GlobBerMedDisc!H20&amp;" "&amp;GlobBerMedDisc!F20,"")</f>
        <v/>
      </c>
      <c r="F21" s="127" t="str">
        <f>IF(AND(D21&lt;&gt;"",D21&lt;&gt;"STOP"),GlobBerMedDisc!L20," ")</f>
        <v xml:space="preserve"> </v>
      </c>
      <c r="G21" s="127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25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26" t="str">
        <f>IF(GlobGuiMedDisc!I28&lt;&gt;"",GlobGuiMedDisc!I28,"")</f>
        <v/>
      </c>
      <c r="E22" s="127" t="str">
        <f>IF(AND(D22&lt;&gt;"",D22&lt;&gt;"STOP"),GlobBerMedDisc!H21&amp;" "&amp;GlobBerMedDisc!F21,"")</f>
        <v/>
      </c>
      <c r="F22" s="127" t="str">
        <f>IF(AND(D22&lt;&gt;"",D22&lt;&gt;"STOP"),GlobBerMedDisc!L21," ")</f>
        <v xml:space="preserve"> </v>
      </c>
      <c r="G22" s="127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  <row r="23" spans="2:33" s="311" customFormat="1" ht="26.1" customHeight="1" x14ac:dyDescent="0.2">
      <c r="B23" s="94"/>
      <c r="C23" s="125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26" t="str">
        <f>IF(GlobGuiMedDisc!I29&lt;&gt;"",GlobGuiMedDisc!I29,"")</f>
        <v/>
      </c>
      <c r="E23" s="127" t="str">
        <f>IF(AND(D23&lt;&gt;"",D23&lt;&gt;"STOP"),GlobBerMedDisc!H22&amp;" "&amp;GlobBerMedDisc!F22,"")</f>
        <v/>
      </c>
      <c r="F23" s="127" t="str">
        <f>IF(AND(D23&lt;&gt;"",D23&lt;&gt;"STOP"),GlobBerMedDisc!L22," ")</f>
        <v xml:space="preserve"> </v>
      </c>
      <c r="G23" s="127" t="e">
        <f>IF(GlobGuiMedDisc!#REF!&lt;&gt;"",GlobGuiMedDisc!#REF!&amp;" "&amp;GlobGuiMedDisc!#REF!&amp;" "&amp;INDEX(GlobBerMedDisc!$B$27:$B$30,GlobBerMedDisc!O22,1)&amp;" in "&amp;GlobGuiMedDisc!$R$28,"")</f>
        <v>#REF!</v>
      </c>
      <c r="H23" s="93" t="str">
        <f>IF(OR($D23="1 dd",$D23="2 dd",$D23="3 dd",$D23="4 dd",$D23="6 dd",$D23="8 dd",$D23="12 dd",$D23="an",$D23="1 X"),VLOOKUP($D23,PedTblTijden!$A$16:$X$26,PedTblTijden!B$14,FALSE),"")</f>
        <v/>
      </c>
      <c r="I23" s="12" t="str">
        <f>IF(OR($D23="1 dd",$D23="2 dd",$D23="3 dd",$D23="4 dd",$D23="6 dd",$D23="8 dd",$D23="12 dd",$D23="an",$D23="1 X"),VLOOKUP($D23,PedTblTijden!$A$16:$X$26,PedTblTijden!C$14,FALSE),"")</f>
        <v/>
      </c>
      <c r="J23" s="93" t="str">
        <f>IF(OR($D23="1 dd",$D23="2 dd",$D23="3 dd",$D23="4 dd",$D23="6 dd",$D23="8 dd",$D23="12 dd",$D23="an",$D23="1 X"),VLOOKUP($D23,PedTblTijden!$A$16:$X$26,PedTblTijden!D$14,FALSE),"")</f>
        <v/>
      </c>
      <c r="K23" s="12" t="str">
        <f>IF(OR($D23="1 dd",$D23="2 dd",$D23="3 dd",$D23="4 dd",$D23="6 dd",$D23="8 dd",$D23="12 dd",$D23="an",$D23="1 X"),VLOOKUP($D23,PedTblTijden!$A$16:$X$26,PedTblTijden!E$14,FALSE),"")</f>
        <v/>
      </c>
      <c r="L23" s="93" t="str">
        <f>IF(OR($D23="1 dd",$D23="2 dd",$D23="3 dd",$D23="4 dd",$D23="6 dd",$D23="8 dd",$D23="12 dd",$D23="an",$D23="1 X"),VLOOKUP($D23,PedTblTijden!$A$16:$X$26,PedTblTijden!F$14,FALSE),"")</f>
        <v/>
      </c>
      <c r="M23" s="12" t="str">
        <f>IF(OR($D23="1 dd",$D23="2 dd",$D23="3 dd",$D23="4 dd",$D23="6 dd",$D23="8 dd",$D23="12 dd",$D23="an",$D23="1 X"),VLOOKUP($D23,PedTblTijden!$A$16:$X$26,PedTblTijden!G$14,FALSE),"")</f>
        <v/>
      </c>
      <c r="N23" s="93" t="str">
        <f>IF(OR($D23="1 dd",$D23="2 dd",$D23="3 dd",$D23="4 dd",$D23="6 dd",$D23="8 dd",$D23="12 dd",$D23="an",$D23="1 X"),VLOOKUP($D23,PedTblTijden!$A$16:$X$26,PedTblTijden!H$14,FALSE),"")</f>
        <v/>
      </c>
      <c r="O23" s="12" t="str">
        <f>IF(OR($D23="1 dd",$D23="2 dd",$D23="3 dd",$D23="4 dd",$D23="6 dd",$D23="8 dd",$D23="12 dd",$D23="an",$D23="1 X"),VLOOKUP($D23,PedTblTijden!$A$16:$X$26,PedTblTijden!I$14,FALSE),"")</f>
        <v/>
      </c>
      <c r="P23" s="93" t="str">
        <f>IF(OR($D23="1 dd",$D23="2 dd",$D23="3 dd",$D23="4 dd",$D23="6 dd",$D23="8 dd",$D23="12 dd",$D23="an",$D23="1 X"),VLOOKUP($D23,PedTblTijden!$A$16:$X$26,PedTblTijden!J$14,FALSE),"")</f>
        <v/>
      </c>
      <c r="Q23" s="12" t="str">
        <f>IF(OR($D23="1 dd",$D23="2 dd",$D23="3 dd",$D23="4 dd",$D23="6 dd",$D23="8 dd",$D23="12 dd",$D23="an",$D23="1 X"),VLOOKUP($D23,PedTblTijden!$A$16:$X$26,PedTblTijden!K$14,FALSE),"")</f>
        <v/>
      </c>
      <c r="R23" s="93" t="str">
        <f>IF(OR($D23="1 dd",$D23="2 dd",$D23="3 dd",$D23="4 dd",$D23="6 dd",$D23="8 dd",$D23="12 dd",$D23="an",$D23="1 X"),VLOOKUP($D23,PedTblTijden!$A$16:$X$26,PedTblTijden!L$14,FALSE),"")</f>
        <v/>
      </c>
      <c r="S23" s="12" t="str">
        <f>IF(OR($D23="1 dd",$D23="2 dd",$D23="3 dd",$D23="4 dd",$D23="6 dd",$D23="8 dd",$D23="12 dd",$D23="an",$D23="1 X"),VLOOKUP($D23,PedTblTijden!$A$16:$X$26,PedTblTijden!M$14,FALSE),"")</f>
        <v/>
      </c>
      <c r="T23" s="93" t="str">
        <f>IF(OR($D23="1 dd",$D23="2 dd",$D23="3 dd",$D23="4 dd",$D23="6 dd",$D23="8 dd",$D23="12 dd",$D23="an",$D23="1 X"),VLOOKUP($D23,PedTblTijden!$A$16:$X$26,PedTblTijden!N$14,FALSE),"")</f>
        <v/>
      </c>
      <c r="U23" s="12" t="str">
        <f>IF(OR($D23="1 dd",$D23="2 dd",$D23="3 dd",$D23="4 dd",$D23="6 dd",$D23="8 dd",$D23="12 dd",$D23="an",$D23="1 X"),VLOOKUP($D23,PedTblTijden!$A$16:$X$26,PedTblTijden!O$14,FALSE),"")</f>
        <v/>
      </c>
      <c r="V23" s="93" t="str">
        <f>IF(OR($D23="1 dd",$D23="2 dd",$D23="3 dd",$D23="4 dd",$D23="6 dd",$D23="8 dd",$D23="12 dd",$D23="an",$D23="1 X"),VLOOKUP($D23,PedTblTijden!$A$16:$X$26,PedTblTijden!P$14,FALSE),"")</f>
        <v/>
      </c>
      <c r="W23" s="12" t="str">
        <f>IF(OR($D23="1 dd",$D23="2 dd",$D23="3 dd",$D23="4 dd",$D23="6 dd",$D23="8 dd",$D23="12 dd",$D23="an",$D23="1 X"),VLOOKUP($D23,PedTblTijden!$A$16:$X$26,PedTblTijden!Q$14,FALSE),"")</f>
        <v/>
      </c>
      <c r="X23" s="93" t="str">
        <f>IF(OR($D23="1 dd",$D23="2 dd",$D23="3 dd",$D23="4 dd",$D23="6 dd",$D23="8 dd",$D23="12 dd",$D23="an",$D23="1 X"),VLOOKUP($D23,PedTblTijden!$A$16:$X$26,PedTblTijden!R$14,FALSE),"")</f>
        <v/>
      </c>
      <c r="Y23" s="12" t="str">
        <f>IF(OR($D23="1 dd",$D23="2 dd",$D23="3 dd",$D23="4 dd",$D23="6 dd",$D23="8 dd",$D23="12 dd",$D23="an",$D23="1 X"),VLOOKUP($D23,PedTblTijden!$A$16:$X$26,PedTblTijden!S$14,FALSE),"")</f>
        <v/>
      </c>
      <c r="Z23" s="93" t="str">
        <f>IF(OR($D23="1 dd",$D23="2 dd",$D23="3 dd",$D23="4 dd",$D23="6 dd",$D23="8 dd",$D23="12 dd",$D23="an",$D23="1 X"),VLOOKUP($D23,PedTblTijden!$A$16:$X$26,PedTblTijden!T$14,FALSE),"")</f>
        <v/>
      </c>
      <c r="AA23" s="12" t="str">
        <f>IF(OR($D23="1 dd",$D23="2 dd",$D23="3 dd",$D23="4 dd",$D23="6 dd",$D23="8 dd",$D23="12 dd",$D23="an",$D23="1 X"),VLOOKUP($D23,PedTblTijden!$A$16:$X$26,PedTblTijden!U$14,FALSE),"")</f>
        <v/>
      </c>
      <c r="AB23" s="93" t="str">
        <f>IF(OR($D23="1 dd",$D23="2 dd",$D23="3 dd",$D23="4 dd",$D23="6 dd",$D23="8 dd",$D23="12 dd",$D23="an",$D23="1 X"),VLOOKUP($D23,PedTblTijden!$A$16:$X$26,PedTblTijden!V$14,FALSE),"")</f>
        <v/>
      </c>
      <c r="AC23" s="12" t="str">
        <f>IF(OR($D23="1 dd",$D23="2 dd",$D23="3 dd",$D23="4 dd",$D23="6 dd",$D23="8 dd",$D23="12 dd",$D23="an",$D23="1 X"),VLOOKUP($D23,PedTblTijden!$A$16:$X$26,PedTblTijden!W$14,FALSE),"")</f>
        <v/>
      </c>
      <c r="AD23" s="93" t="str">
        <f>IF(OR($D23="1 dd",$D23="2 dd",$D23="3 dd",$D23="4 dd",$D23="6 dd",$D23="8 dd",$D23="12 dd",$D23="an",$D23="1 X"),VLOOKUP($D23,PedTblTijden!$A$16:$X$26,PedTblTijden!X$14,FALSE),"")</f>
        <v/>
      </c>
      <c r="AE23" s="14"/>
      <c r="AF23" s="92"/>
      <c r="AG23" s="14"/>
    </row>
    <row r="24" spans="2:33" s="311" customFormat="1" ht="26.1" customHeight="1" x14ac:dyDescent="0.2">
      <c r="B24" s="94"/>
      <c r="C24" s="125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26" t="str">
        <f>IF(GlobGuiMedDisc!I30&lt;&gt;"",GlobGuiMedDisc!I30,"")</f>
        <v/>
      </c>
      <c r="E24" s="127" t="str">
        <f>IF(AND(D24&lt;&gt;"",D24&lt;&gt;"STOP"),GlobBerMedDisc!H23&amp;" "&amp;GlobBerMedDisc!F23,"")</f>
        <v/>
      </c>
      <c r="F24" s="127" t="str">
        <f>IF(AND(D24&lt;&gt;"",D24&lt;&gt;"STOP"),GlobBerMedDisc!L23," ")</f>
        <v xml:space="preserve"> </v>
      </c>
      <c r="G24" s="127" t="str">
        <f>IF(GlobGuiMedDisc!N29&lt;&gt;"",GlobGuiMedDisc!N29&amp;" "&amp;GlobGuiMedDisc!O29&amp;" "&amp;INDEX(GlobBerMedDisc!$B$27:$B$30,GlobBerMedDisc!O23,1)&amp;" in "&amp;GlobGuiMedDisc!$R$28,"")</f>
        <v/>
      </c>
      <c r="H24" s="93" t="str">
        <f>IF(OR($D24="1 dd",$D24="2 dd",$D24="3 dd",$D24="4 dd",$D24="6 dd",$D24="8 dd",$D24="12 dd",$D24="an",$D24="1 X"),VLOOKUP($D24,PedTblTijden!$A$16:$X$26,PedTblTijden!B$14,FALSE),"")</f>
        <v/>
      </c>
      <c r="I24" s="12" t="str">
        <f>IF(OR($D24="1 dd",$D24="2 dd",$D24="3 dd",$D24="4 dd",$D24="6 dd",$D24="8 dd",$D24="12 dd",$D24="an",$D24="1 X"),VLOOKUP($D24,PedTblTijden!$A$16:$X$26,PedTblTijden!C$14,FALSE),"")</f>
        <v/>
      </c>
      <c r="J24" s="93" t="str">
        <f>IF(OR($D24="1 dd",$D24="2 dd",$D24="3 dd",$D24="4 dd",$D24="6 dd",$D24="8 dd",$D24="12 dd",$D24="an",$D24="1 X"),VLOOKUP($D24,PedTblTijden!$A$16:$X$26,PedTblTijden!D$14,FALSE),"")</f>
        <v/>
      </c>
      <c r="K24" s="12" t="str">
        <f>IF(OR($D24="1 dd",$D24="2 dd",$D24="3 dd",$D24="4 dd",$D24="6 dd",$D24="8 dd",$D24="12 dd",$D24="an",$D24="1 X"),VLOOKUP($D24,PedTblTijden!$A$16:$X$26,PedTblTijden!E$14,FALSE),"")</f>
        <v/>
      </c>
      <c r="L24" s="93" t="str">
        <f>IF(OR($D24="1 dd",$D24="2 dd",$D24="3 dd",$D24="4 dd",$D24="6 dd",$D24="8 dd",$D24="12 dd",$D24="an",$D24="1 X"),VLOOKUP($D24,PedTblTijden!$A$16:$X$26,PedTblTijden!F$14,FALSE),"")</f>
        <v/>
      </c>
      <c r="M24" s="12" t="str">
        <f>IF(OR($D24="1 dd",$D24="2 dd",$D24="3 dd",$D24="4 dd",$D24="6 dd",$D24="8 dd",$D24="12 dd",$D24="an",$D24="1 X"),VLOOKUP($D24,PedTblTijden!$A$16:$X$26,PedTblTijden!G$14,FALSE),"")</f>
        <v/>
      </c>
      <c r="N24" s="93" t="str">
        <f>IF(OR($D24="1 dd",$D24="2 dd",$D24="3 dd",$D24="4 dd",$D24="6 dd",$D24="8 dd",$D24="12 dd",$D24="an",$D24="1 X"),VLOOKUP($D24,PedTblTijden!$A$16:$X$26,PedTblTijden!H$14,FALSE),"")</f>
        <v/>
      </c>
      <c r="O24" s="12" t="str">
        <f>IF(OR($D24="1 dd",$D24="2 dd",$D24="3 dd",$D24="4 dd",$D24="6 dd",$D24="8 dd",$D24="12 dd",$D24="an",$D24="1 X"),VLOOKUP($D24,PedTblTijden!$A$16:$X$26,PedTblTijden!I$14,FALSE),"")</f>
        <v/>
      </c>
      <c r="P24" s="93" t="str">
        <f>IF(OR($D24="1 dd",$D24="2 dd",$D24="3 dd",$D24="4 dd",$D24="6 dd",$D24="8 dd",$D24="12 dd",$D24="an",$D24="1 X"),VLOOKUP($D24,PedTblTijden!$A$16:$X$26,PedTblTijden!J$14,FALSE),"")</f>
        <v/>
      </c>
      <c r="Q24" s="12" t="str">
        <f>IF(OR($D24="1 dd",$D24="2 dd",$D24="3 dd",$D24="4 dd",$D24="6 dd",$D24="8 dd",$D24="12 dd",$D24="an",$D24="1 X"),VLOOKUP($D24,PedTblTijden!$A$16:$X$26,PedTblTijden!K$14,FALSE),"")</f>
        <v/>
      </c>
      <c r="R24" s="93" t="str">
        <f>IF(OR($D24="1 dd",$D24="2 dd",$D24="3 dd",$D24="4 dd",$D24="6 dd",$D24="8 dd",$D24="12 dd",$D24="an",$D24="1 X"),VLOOKUP($D24,PedTblTijden!$A$16:$X$26,PedTblTijden!L$14,FALSE),"")</f>
        <v/>
      </c>
      <c r="S24" s="12" t="str">
        <f>IF(OR($D24="1 dd",$D24="2 dd",$D24="3 dd",$D24="4 dd",$D24="6 dd",$D24="8 dd",$D24="12 dd",$D24="an",$D24="1 X"),VLOOKUP($D24,PedTblTijden!$A$16:$X$26,PedTblTijden!M$14,FALSE),"")</f>
        <v/>
      </c>
      <c r="T24" s="93" t="str">
        <f>IF(OR($D24="1 dd",$D24="2 dd",$D24="3 dd",$D24="4 dd",$D24="6 dd",$D24="8 dd",$D24="12 dd",$D24="an",$D24="1 X"),VLOOKUP($D24,PedTblTijden!$A$16:$X$26,PedTblTijden!N$14,FALSE),"")</f>
        <v/>
      </c>
      <c r="U24" s="12" t="str">
        <f>IF(OR($D24="1 dd",$D24="2 dd",$D24="3 dd",$D24="4 dd",$D24="6 dd",$D24="8 dd",$D24="12 dd",$D24="an",$D24="1 X"),VLOOKUP($D24,PedTblTijden!$A$16:$X$26,PedTblTijden!O$14,FALSE),"")</f>
        <v/>
      </c>
      <c r="V24" s="93" t="str">
        <f>IF(OR($D24="1 dd",$D24="2 dd",$D24="3 dd",$D24="4 dd",$D24="6 dd",$D24="8 dd",$D24="12 dd",$D24="an",$D24="1 X"),VLOOKUP($D24,PedTblTijden!$A$16:$X$26,PedTblTijden!P$14,FALSE),"")</f>
        <v/>
      </c>
      <c r="W24" s="12" t="str">
        <f>IF(OR($D24="1 dd",$D24="2 dd",$D24="3 dd",$D24="4 dd",$D24="6 dd",$D24="8 dd",$D24="12 dd",$D24="an",$D24="1 X"),VLOOKUP($D24,PedTblTijden!$A$16:$X$26,PedTblTijden!Q$14,FALSE),"")</f>
        <v/>
      </c>
      <c r="X24" s="93" t="str">
        <f>IF(OR($D24="1 dd",$D24="2 dd",$D24="3 dd",$D24="4 dd",$D24="6 dd",$D24="8 dd",$D24="12 dd",$D24="an",$D24="1 X"),VLOOKUP($D24,PedTblTijden!$A$16:$X$26,PedTblTijden!R$14,FALSE),"")</f>
        <v/>
      </c>
      <c r="Y24" s="12" t="str">
        <f>IF(OR($D24="1 dd",$D24="2 dd",$D24="3 dd",$D24="4 dd",$D24="6 dd",$D24="8 dd",$D24="12 dd",$D24="an",$D24="1 X"),VLOOKUP($D24,PedTblTijden!$A$16:$X$26,PedTblTijden!S$14,FALSE),"")</f>
        <v/>
      </c>
      <c r="Z24" s="93" t="str">
        <f>IF(OR($D24="1 dd",$D24="2 dd",$D24="3 dd",$D24="4 dd",$D24="6 dd",$D24="8 dd",$D24="12 dd",$D24="an",$D24="1 X"),VLOOKUP($D24,PedTblTijden!$A$16:$X$26,PedTblTijden!T$14,FALSE),"")</f>
        <v/>
      </c>
      <c r="AA24" s="12" t="str">
        <f>IF(OR($D24="1 dd",$D24="2 dd",$D24="3 dd",$D24="4 dd",$D24="6 dd",$D24="8 dd",$D24="12 dd",$D24="an",$D24="1 X"),VLOOKUP($D24,PedTblTijden!$A$16:$X$26,PedTblTijden!U$14,FALSE),"")</f>
        <v/>
      </c>
      <c r="AB24" s="93" t="str">
        <f>IF(OR($D24="1 dd",$D24="2 dd",$D24="3 dd",$D24="4 dd",$D24="6 dd",$D24="8 dd",$D24="12 dd",$D24="an",$D24="1 X"),VLOOKUP($D24,PedTblTijden!$A$16:$X$26,PedTblTijden!V$14,FALSE),"")</f>
        <v/>
      </c>
      <c r="AC24" s="12" t="str">
        <f>IF(OR($D24="1 dd",$D24="2 dd",$D24="3 dd",$D24="4 dd",$D24="6 dd",$D24="8 dd",$D24="12 dd",$D24="an",$D24="1 X"),VLOOKUP($D24,PedTblTijden!$A$16:$X$26,PedTblTijden!W$14,FALSE),"")</f>
        <v/>
      </c>
      <c r="AD24" s="93" t="str">
        <f>IF(OR($D24="1 dd",$D24="2 dd",$D24="3 dd",$D24="4 dd",$D24="6 dd",$D24="8 dd",$D24="12 dd",$D24="an",$D24="1 X"),VLOOKUP($D24,PedTblTijden!$A$16:$X$26,PedTblTijden!X$14,FALSE),"")</f>
        <v/>
      </c>
      <c r="AE24" s="14"/>
      <c r="AF24" s="92"/>
      <c r="AG24" s="14"/>
    </row>
    <row r="25" spans="2:33" s="311" customFormat="1" ht="26.1" customHeight="1" x14ac:dyDescent="0.2">
      <c r="B25" s="94"/>
      <c r="C25" s="125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26" t="str">
        <f>IF(GlobGuiMedDisc!I31&lt;&gt;"",GlobGuiMedDisc!I31,"")</f>
        <v/>
      </c>
      <c r="E25" s="127" t="str">
        <f>IF(AND(D25&lt;&gt;"",D25&lt;&gt;"STOP"),GlobBerMedDisc!H24&amp;" "&amp;GlobBerMedDisc!F24,"")</f>
        <v/>
      </c>
      <c r="F25" s="127" t="str">
        <f>IF(AND(D25&lt;&gt;"",D25&lt;&gt;"STOP"),GlobBerMedDisc!L24," ")</f>
        <v xml:space="preserve"> </v>
      </c>
      <c r="G25" s="127" t="e">
        <f>IF(GlobGuiMedDisc!#REF!&lt;&gt;"",GlobGuiMedDisc!#REF!&amp;" "&amp;GlobGuiMedDisc!#REF!&amp;" "&amp;INDEX(GlobBerMedDisc!$B$27:$B$30,GlobBerMedDisc!O24,1)&amp;" in "&amp;GlobGuiMedDisc!$R$28,"")</f>
        <v>#REF!</v>
      </c>
      <c r="H25" s="93" t="str">
        <f>IF(OR($D25="1 dd",$D25="2 dd",$D25="3 dd",$D25="4 dd",$D25="6 dd",$D25="8 dd",$D25="12 dd",$D25="an",$D25="1 X"),VLOOKUP($D25,PedTblTijden!$A$16:$X$26,PedTblTijden!B$14,FALSE),"")</f>
        <v/>
      </c>
      <c r="I25" s="12" t="str">
        <f>IF(OR($D25="1 dd",$D25="2 dd",$D25="3 dd",$D25="4 dd",$D25="6 dd",$D25="8 dd",$D25="12 dd",$D25="an",$D25="1 X"),VLOOKUP($D25,PedTblTijden!$A$16:$X$26,PedTblTijden!C$14,FALSE),"")</f>
        <v/>
      </c>
      <c r="J25" s="93" t="str">
        <f>IF(OR($D25="1 dd",$D25="2 dd",$D25="3 dd",$D25="4 dd",$D25="6 dd",$D25="8 dd",$D25="12 dd",$D25="an",$D25="1 X"),VLOOKUP($D25,PedTblTijden!$A$16:$X$26,PedTblTijden!D$14,FALSE),"")</f>
        <v/>
      </c>
      <c r="K25" s="12" t="str">
        <f>IF(OR($D25="1 dd",$D25="2 dd",$D25="3 dd",$D25="4 dd",$D25="6 dd",$D25="8 dd",$D25="12 dd",$D25="an",$D25="1 X"),VLOOKUP($D25,PedTblTijden!$A$16:$X$26,PedTblTijden!E$14,FALSE),"")</f>
        <v/>
      </c>
      <c r="L25" s="93" t="str">
        <f>IF(OR($D25="1 dd",$D25="2 dd",$D25="3 dd",$D25="4 dd",$D25="6 dd",$D25="8 dd",$D25="12 dd",$D25="an",$D25="1 X"),VLOOKUP($D25,PedTblTijden!$A$16:$X$26,PedTblTijden!F$14,FALSE),"")</f>
        <v/>
      </c>
      <c r="M25" s="12" t="str">
        <f>IF(OR($D25="1 dd",$D25="2 dd",$D25="3 dd",$D25="4 dd",$D25="6 dd",$D25="8 dd",$D25="12 dd",$D25="an",$D25="1 X"),VLOOKUP($D25,PedTblTijden!$A$16:$X$26,PedTblTijden!G$14,FALSE),"")</f>
        <v/>
      </c>
      <c r="N25" s="93" t="str">
        <f>IF(OR($D25="1 dd",$D25="2 dd",$D25="3 dd",$D25="4 dd",$D25="6 dd",$D25="8 dd",$D25="12 dd",$D25="an",$D25="1 X"),VLOOKUP($D25,PedTblTijden!$A$16:$X$26,PedTblTijden!H$14,FALSE),"")</f>
        <v/>
      </c>
      <c r="O25" s="12" t="str">
        <f>IF(OR($D25="1 dd",$D25="2 dd",$D25="3 dd",$D25="4 dd",$D25="6 dd",$D25="8 dd",$D25="12 dd",$D25="an",$D25="1 X"),VLOOKUP($D25,PedTblTijden!$A$16:$X$26,PedTblTijden!I$14,FALSE),"")</f>
        <v/>
      </c>
      <c r="P25" s="93" t="str">
        <f>IF(OR($D25="1 dd",$D25="2 dd",$D25="3 dd",$D25="4 dd",$D25="6 dd",$D25="8 dd",$D25="12 dd",$D25="an",$D25="1 X"),VLOOKUP($D25,PedTblTijden!$A$16:$X$26,PedTblTijden!J$14,FALSE),"")</f>
        <v/>
      </c>
      <c r="Q25" s="12" t="str">
        <f>IF(OR($D25="1 dd",$D25="2 dd",$D25="3 dd",$D25="4 dd",$D25="6 dd",$D25="8 dd",$D25="12 dd",$D25="an",$D25="1 X"),VLOOKUP($D25,PedTblTijden!$A$16:$X$26,PedTblTijden!K$14,FALSE),"")</f>
        <v/>
      </c>
      <c r="R25" s="93" t="str">
        <f>IF(OR($D25="1 dd",$D25="2 dd",$D25="3 dd",$D25="4 dd",$D25="6 dd",$D25="8 dd",$D25="12 dd",$D25="an",$D25="1 X"),VLOOKUP($D25,PedTblTijden!$A$16:$X$26,PedTblTijden!L$14,FALSE),"")</f>
        <v/>
      </c>
      <c r="S25" s="12" t="str">
        <f>IF(OR($D25="1 dd",$D25="2 dd",$D25="3 dd",$D25="4 dd",$D25="6 dd",$D25="8 dd",$D25="12 dd",$D25="an",$D25="1 X"),VLOOKUP($D25,PedTblTijden!$A$16:$X$26,PedTblTijden!M$14,FALSE),"")</f>
        <v/>
      </c>
      <c r="T25" s="93" t="str">
        <f>IF(OR($D25="1 dd",$D25="2 dd",$D25="3 dd",$D25="4 dd",$D25="6 dd",$D25="8 dd",$D25="12 dd",$D25="an",$D25="1 X"),VLOOKUP($D25,PedTblTijden!$A$16:$X$26,PedTblTijden!N$14,FALSE),"")</f>
        <v/>
      </c>
      <c r="U25" s="12" t="str">
        <f>IF(OR($D25="1 dd",$D25="2 dd",$D25="3 dd",$D25="4 dd",$D25="6 dd",$D25="8 dd",$D25="12 dd",$D25="an",$D25="1 X"),VLOOKUP($D25,PedTblTijden!$A$16:$X$26,PedTblTijden!O$14,FALSE),"")</f>
        <v/>
      </c>
      <c r="V25" s="93" t="str">
        <f>IF(OR($D25="1 dd",$D25="2 dd",$D25="3 dd",$D25="4 dd",$D25="6 dd",$D25="8 dd",$D25="12 dd",$D25="an",$D25="1 X"),VLOOKUP($D25,PedTblTijden!$A$16:$X$26,PedTblTijden!P$14,FALSE),"")</f>
        <v/>
      </c>
      <c r="W25" s="12" t="str">
        <f>IF(OR($D25="1 dd",$D25="2 dd",$D25="3 dd",$D25="4 dd",$D25="6 dd",$D25="8 dd",$D25="12 dd",$D25="an",$D25="1 X"),VLOOKUP($D25,PedTblTijden!$A$16:$X$26,PedTblTijden!Q$14,FALSE),"")</f>
        <v/>
      </c>
      <c r="X25" s="93" t="str">
        <f>IF(OR($D25="1 dd",$D25="2 dd",$D25="3 dd",$D25="4 dd",$D25="6 dd",$D25="8 dd",$D25="12 dd",$D25="an",$D25="1 X"),VLOOKUP($D25,PedTblTijden!$A$16:$X$26,PedTblTijden!R$14,FALSE),"")</f>
        <v/>
      </c>
      <c r="Y25" s="12" t="str">
        <f>IF(OR($D25="1 dd",$D25="2 dd",$D25="3 dd",$D25="4 dd",$D25="6 dd",$D25="8 dd",$D25="12 dd",$D25="an",$D25="1 X"),VLOOKUP($D25,PedTblTijden!$A$16:$X$26,PedTblTijden!S$14,FALSE),"")</f>
        <v/>
      </c>
      <c r="Z25" s="93" t="str">
        <f>IF(OR($D25="1 dd",$D25="2 dd",$D25="3 dd",$D25="4 dd",$D25="6 dd",$D25="8 dd",$D25="12 dd",$D25="an",$D25="1 X"),VLOOKUP($D25,PedTblTijden!$A$16:$X$26,PedTblTijden!T$14,FALSE),"")</f>
        <v/>
      </c>
      <c r="AA25" s="12" t="str">
        <f>IF(OR($D25="1 dd",$D25="2 dd",$D25="3 dd",$D25="4 dd",$D25="6 dd",$D25="8 dd",$D25="12 dd",$D25="an",$D25="1 X"),VLOOKUP($D25,PedTblTijden!$A$16:$X$26,PedTblTijden!U$14,FALSE),"")</f>
        <v/>
      </c>
      <c r="AB25" s="93" t="str">
        <f>IF(OR($D25="1 dd",$D25="2 dd",$D25="3 dd",$D25="4 dd",$D25="6 dd",$D25="8 dd",$D25="12 dd",$D25="an",$D25="1 X"),VLOOKUP($D25,PedTblTijden!$A$16:$X$26,PedTblTijden!V$14,FALSE),"")</f>
        <v/>
      </c>
      <c r="AC25" s="12" t="str">
        <f>IF(OR($D25="1 dd",$D25="2 dd",$D25="3 dd",$D25="4 dd",$D25="6 dd",$D25="8 dd",$D25="12 dd",$D25="an",$D25="1 X"),VLOOKUP($D25,PedTblTijden!$A$16:$X$26,PedTblTijden!W$14,FALSE),"")</f>
        <v/>
      </c>
      <c r="AD25" s="93" t="str">
        <f>IF(OR($D25="1 dd",$D25="2 dd",$D25="3 dd",$D25="4 dd",$D25="6 dd",$D25="8 dd",$D25="12 dd",$D25="an",$D25="1 X"),VLOOKUP($D25,PedTblTijden!$A$16:$X$26,PedTblTijden!X$14,FALSE),"")</f>
        <v/>
      </c>
      <c r="AE25" s="14"/>
      <c r="AF25" s="92"/>
      <c r="AG25" s="14"/>
    </row>
    <row r="26" spans="2:33" s="311" customFormat="1" ht="26.1" customHeight="1" x14ac:dyDescent="0.2">
      <c r="B26" s="94"/>
      <c r="C26" s="125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26" t="str">
        <f>IF(GlobGuiMedDisc!I32&lt;&gt;"",GlobGuiMedDisc!I32,"")</f>
        <v/>
      </c>
      <c r="E26" s="127" t="str">
        <f>IF(AND(D26&lt;&gt;"",D26&lt;&gt;"STOP"),GlobBerMedDisc!H25&amp;" "&amp;GlobBerMedDisc!F25,"")</f>
        <v/>
      </c>
      <c r="F26" s="127" t="str">
        <f>IF(AND(D26&lt;&gt;"",D26&lt;&gt;"STOP"),GlobBerMedDisc!L25," ")</f>
        <v xml:space="preserve"> </v>
      </c>
      <c r="G26" s="127" t="str">
        <f>IF(GlobGuiMedDisc!N30&lt;&gt;"",GlobGuiMedDisc!N30&amp;" "&amp;GlobGuiMedDisc!O30&amp;" "&amp;INDEX(GlobBerMedDisc!$B$27:$B$30,GlobBerMedDisc!O25,1)&amp;" in "&amp;GlobGuiMedDisc!$R$28,"")</f>
        <v/>
      </c>
      <c r="H26" s="93" t="str">
        <f>IF(OR($D26="1 dd",$D26="2 dd",$D26="3 dd",$D26="4 dd",$D26="6 dd",$D26="8 dd",$D26="12 dd",$D26="an",$D26="1 X"),VLOOKUP($D26,PedTblTijden!$A$16:$X$26,PedTblTijden!B$14,FALSE),"")</f>
        <v/>
      </c>
      <c r="I26" s="12" t="str">
        <f>IF(OR($D26="1 dd",$D26="2 dd",$D26="3 dd",$D26="4 dd",$D26="6 dd",$D26="8 dd",$D26="12 dd",$D26="an",$D26="1 X"),VLOOKUP($D26,PedTblTijden!$A$16:$X$26,PedTblTijden!C$14,FALSE),"")</f>
        <v/>
      </c>
      <c r="J26" s="93" t="str">
        <f>IF(OR($D26="1 dd",$D26="2 dd",$D26="3 dd",$D26="4 dd",$D26="6 dd",$D26="8 dd",$D26="12 dd",$D26="an",$D26="1 X"),VLOOKUP($D26,PedTblTijden!$A$16:$X$26,PedTblTijden!D$14,FALSE),"")</f>
        <v/>
      </c>
      <c r="K26" s="12" t="str">
        <f>IF(OR($D26="1 dd",$D26="2 dd",$D26="3 dd",$D26="4 dd",$D26="6 dd",$D26="8 dd",$D26="12 dd",$D26="an",$D26="1 X"),VLOOKUP($D26,PedTblTijden!$A$16:$X$26,PedTblTijden!E$14,FALSE),"")</f>
        <v/>
      </c>
      <c r="L26" s="93" t="str">
        <f>IF(OR($D26="1 dd",$D26="2 dd",$D26="3 dd",$D26="4 dd",$D26="6 dd",$D26="8 dd",$D26="12 dd",$D26="an",$D26="1 X"),VLOOKUP($D26,PedTblTijden!$A$16:$X$26,PedTblTijden!F$14,FALSE),"")</f>
        <v/>
      </c>
      <c r="M26" s="12" t="str">
        <f>IF(OR($D26="1 dd",$D26="2 dd",$D26="3 dd",$D26="4 dd",$D26="6 dd",$D26="8 dd",$D26="12 dd",$D26="an",$D26="1 X"),VLOOKUP($D26,PedTblTijden!$A$16:$X$26,PedTblTijden!G$14,FALSE),"")</f>
        <v/>
      </c>
      <c r="N26" s="93" t="str">
        <f>IF(OR($D26="1 dd",$D26="2 dd",$D26="3 dd",$D26="4 dd",$D26="6 dd",$D26="8 dd",$D26="12 dd",$D26="an",$D26="1 X"),VLOOKUP($D26,PedTblTijden!$A$16:$X$26,PedTblTijden!H$14,FALSE),"")</f>
        <v/>
      </c>
      <c r="O26" s="12" t="str">
        <f>IF(OR($D26="1 dd",$D26="2 dd",$D26="3 dd",$D26="4 dd",$D26="6 dd",$D26="8 dd",$D26="12 dd",$D26="an",$D26="1 X"),VLOOKUP($D26,PedTblTijden!$A$16:$X$26,PedTblTijden!I$14,FALSE),"")</f>
        <v/>
      </c>
      <c r="P26" s="93" t="str">
        <f>IF(OR($D26="1 dd",$D26="2 dd",$D26="3 dd",$D26="4 dd",$D26="6 dd",$D26="8 dd",$D26="12 dd",$D26="an",$D26="1 X"),VLOOKUP($D26,PedTblTijden!$A$16:$X$26,PedTblTijden!J$14,FALSE),"")</f>
        <v/>
      </c>
      <c r="Q26" s="12" t="str">
        <f>IF(OR($D26="1 dd",$D26="2 dd",$D26="3 dd",$D26="4 dd",$D26="6 dd",$D26="8 dd",$D26="12 dd",$D26="an",$D26="1 X"),VLOOKUP($D26,PedTblTijden!$A$16:$X$26,PedTblTijden!K$14,FALSE),"")</f>
        <v/>
      </c>
      <c r="R26" s="93" t="str">
        <f>IF(OR($D26="1 dd",$D26="2 dd",$D26="3 dd",$D26="4 dd",$D26="6 dd",$D26="8 dd",$D26="12 dd",$D26="an",$D26="1 X"),VLOOKUP($D26,PedTblTijden!$A$16:$X$26,PedTblTijden!L$14,FALSE),"")</f>
        <v/>
      </c>
      <c r="S26" s="12" t="str">
        <f>IF(OR($D26="1 dd",$D26="2 dd",$D26="3 dd",$D26="4 dd",$D26="6 dd",$D26="8 dd",$D26="12 dd",$D26="an",$D26="1 X"),VLOOKUP($D26,PedTblTijden!$A$16:$X$26,PedTblTijden!M$14,FALSE),"")</f>
        <v/>
      </c>
      <c r="T26" s="93" t="str">
        <f>IF(OR($D26="1 dd",$D26="2 dd",$D26="3 dd",$D26="4 dd",$D26="6 dd",$D26="8 dd",$D26="12 dd",$D26="an",$D26="1 X"),VLOOKUP($D26,PedTblTijden!$A$16:$X$26,PedTblTijden!N$14,FALSE),"")</f>
        <v/>
      </c>
      <c r="U26" s="12" t="str">
        <f>IF(OR($D26="1 dd",$D26="2 dd",$D26="3 dd",$D26="4 dd",$D26="6 dd",$D26="8 dd",$D26="12 dd",$D26="an",$D26="1 X"),VLOOKUP($D26,PedTblTijden!$A$16:$X$26,PedTblTijden!O$14,FALSE),"")</f>
        <v/>
      </c>
      <c r="V26" s="93" t="str">
        <f>IF(OR($D26="1 dd",$D26="2 dd",$D26="3 dd",$D26="4 dd",$D26="6 dd",$D26="8 dd",$D26="12 dd",$D26="an",$D26="1 X"),VLOOKUP($D26,PedTblTijden!$A$16:$X$26,PedTblTijden!P$14,FALSE),"")</f>
        <v/>
      </c>
      <c r="W26" s="12" t="str">
        <f>IF(OR($D26="1 dd",$D26="2 dd",$D26="3 dd",$D26="4 dd",$D26="6 dd",$D26="8 dd",$D26="12 dd",$D26="an",$D26="1 X"),VLOOKUP($D26,PedTblTijden!$A$16:$X$26,PedTblTijden!Q$14,FALSE),"")</f>
        <v/>
      </c>
      <c r="X26" s="93" t="str">
        <f>IF(OR($D26="1 dd",$D26="2 dd",$D26="3 dd",$D26="4 dd",$D26="6 dd",$D26="8 dd",$D26="12 dd",$D26="an",$D26="1 X"),VLOOKUP($D26,PedTblTijden!$A$16:$X$26,PedTblTijden!R$14,FALSE),"")</f>
        <v/>
      </c>
      <c r="Y26" s="12" t="str">
        <f>IF(OR($D26="1 dd",$D26="2 dd",$D26="3 dd",$D26="4 dd",$D26="6 dd",$D26="8 dd",$D26="12 dd",$D26="an",$D26="1 X"),VLOOKUP($D26,PedTblTijden!$A$16:$X$26,PedTblTijden!S$14,FALSE),"")</f>
        <v/>
      </c>
      <c r="Z26" s="93" t="str">
        <f>IF(OR($D26="1 dd",$D26="2 dd",$D26="3 dd",$D26="4 dd",$D26="6 dd",$D26="8 dd",$D26="12 dd",$D26="an",$D26="1 X"),VLOOKUP($D26,PedTblTijden!$A$16:$X$26,PedTblTijden!T$14,FALSE),"")</f>
        <v/>
      </c>
      <c r="AA26" s="12" t="str">
        <f>IF(OR($D26="1 dd",$D26="2 dd",$D26="3 dd",$D26="4 dd",$D26="6 dd",$D26="8 dd",$D26="12 dd",$D26="an",$D26="1 X"),VLOOKUP($D26,PedTblTijden!$A$16:$X$26,PedTblTijden!U$14,FALSE),"")</f>
        <v/>
      </c>
      <c r="AB26" s="93" t="str">
        <f>IF(OR($D26="1 dd",$D26="2 dd",$D26="3 dd",$D26="4 dd",$D26="6 dd",$D26="8 dd",$D26="12 dd",$D26="an",$D26="1 X"),VLOOKUP($D26,PedTblTijden!$A$16:$X$26,PedTblTijden!V$14,FALSE),"")</f>
        <v/>
      </c>
      <c r="AC26" s="12" t="str">
        <f>IF(OR($D26="1 dd",$D26="2 dd",$D26="3 dd",$D26="4 dd",$D26="6 dd",$D26="8 dd",$D26="12 dd",$D26="an",$D26="1 X"),VLOOKUP($D26,PedTblTijden!$A$16:$X$26,PedTblTijden!W$14,FALSE),"")</f>
        <v/>
      </c>
      <c r="AD26" s="93" t="str">
        <f>IF(OR($D26="1 dd",$D26="2 dd",$D26="3 dd",$D26="4 dd",$D26="6 dd",$D26="8 dd",$D26="12 dd",$D26="an",$D26="1 X"),VLOOKUP($D26,PedTblTijden!$A$16:$X$26,PedTblTijden!X$14,FALSE),"")</f>
        <v/>
      </c>
      <c r="AE26" s="14"/>
      <c r="AF26" s="92"/>
      <c r="AG26" s="14"/>
    </row>
    <row r="27" spans="2:33" s="311" customFormat="1" ht="26.1" customHeight="1" x14ac:dyDescent="0.2">
      <c r="B27" s="94"/>
      <c r="C27" s="125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26" t="str">
        <f>IF(GlobGuiMedDisc!I33&lt;&gt;"",GlobGuiMedDisc!I33,"")</f>
        <v/>
      </c>
      <c r="E27" s="127" t="str">
        <f>IF(AND(D27&lt;&gt;"",D27&lt;&gt;"STOP"),GlobBerMedDisc!H26&amp;" "&amp;GlobBerMedDisc!F26,"")</f>
        <v/>
      </c>
      <c r="F27" s="127" t="str">
        <f>IF(AND(D27&lt;&gt;"",D27&lt;&gt;"STOP"),GlobBerMedDisc!L26," ")</f>
        <v xml:space="preserve"> </v>
      </c>
      <c r="G27" s="127" t="e">
        <f>IF(GlobGuiMedDisc!#REF!&lt;&gt;"",GlobGuiMedDisc!#REF!&amp;" "&amp;GlobGuiMedDisc!#REF!&amp;" "&amp;INDEX(GlobBerMedDisc!$B$27:$B$30,GlobBerMedDisc!O26,1)&amp;" in "&amp;GlobGuiMedDisc!$R$28,"")</f>
        <v>#REF!</v>
      </c>
      <c r="H27" s="93" t="str">
        <f>IF(OR($D27="1 dd",$D27="2 dd",$D27="3 dd",$D27="4 dd",$D27="6 dd",$D27="8 dd",$D27="12 dd",$D27="an",$D27="1 X"),VLOOKUP($D27,PedTblTijden!$A$16:$X$26,PedTblTijden!B$14,FALSE),"")</f>
        <v/>
      </c>
      <c r="I27" s="12" t="str">
        <f>IF(OR($D27="1 dd",$D27="2 dd",$D27="3 dd",$D27="4 dd",$D27="6 dd",$D27="8 dd",$D27="12 dd",$D27="an",$D27="1 X"),VLOOKUP($D27,PedTblTijden!$A$16:$X$26,PedTblTijden!C$14,FALSE),"")</f>
        <v/>
      </c>
      <c r="J27" s="93" t="str">
        <f>IF(OR($D27="1 dd",$D27="2 dd",$D27="3 dd",$D27="4 dd",$D27="6 dd",$D27="8 dd",$D27="12 dd",$D27="an",$D27="1 X"),VLOOKUP($D27,PedTblTijden!$A$16:$X$26,PedTblTijden!D$14,FALSE),"")</f>
        <v/>
      </c>
      <c r="K27" s="12" t="str">
        <f>IF(OR($D27="1 dd",$D27="2 dd",$D27="3 dd",$D27="4 dd",$D27="6 dd",$D27="8 dd",$D27="12 dd",$D27="an",$D27="1 X"),VLOOKUP($D27,PedTblTijden!$A$16:$X$26,PedTblTijden!E$14,FALSE),"")</f>
        <v/>
      </c>
      <c r="L27" s="93" t="str">
        <f>IF(OR($D27="1 dd",$D27="2 dd",$D27="3 dd",$D27="4 dd",$D27="6 dd",$D27="8 dd",$D27="12 dd",$D27="an",$D27="1 X"),VLOOKUP($D27,PedTblTijden!$A$16:$X$26,PedTblTijden!F$14,FALSE),"")</f>
        <v/>
      </c>
      <c r="M27" s="12" t="str">
        <f>IF(OR($D27="1 dd",$D27="2 dd",$D27="3 dd",$D27="4 dd",$D27="6 dd",$D27="8 dd",$D27="12 dd",$D27="an",$D27="1 X"),VLOOKUP($D27,PedTblTijden!$A$16:$X$26,PedTblTijden!G$14,FALSE),"")</f>
        <v/>
      </c>
      <c r="N27" s="93" t="str">
        <f>IF(OR($D27="1 dd",$D27="2 dd",$D27="3 dd",$D27="4 dd",$D27="6 dd",$D27="8 dd",$D27="12 dd",$D27="an",$D27="1 X"),VLOOKUP($D27,PedTblTijden!$A$16:$X$26,PedTblTijden!H$14,FALSE),"")</f>
        <v/>
      </c>
      <c r="O27" s="12" t="str">
        <f>IF(OR($D27="1 dd",$D27="2 dd",$D27="3 dd",$D27="4 dd",$D27="6 dd",$D27="8 dd",$D27="12 dd",$D27="an",$D27="1 X"),VLOOKUP($D27,PedTblTijden!$A$16:$X$26,PedTblTijden!I$14,FALSE),"")</f>
        <v/>
      </c>
      <c r="P27" s="93" t="str">
        <f>IF(OR($D27="1 dd",$D27="2 dd",$D27="3 dd",$D27="4 dd",$D27="6 dd",$D27="8 dd",$D27="12 dd",$D27="an",$D27="1 X"),VLOOKUP($D27,PedTblTijden!$A$16:$X$26,PedTblTijden!J$14,FALSE),"")</f>
        <v/>
      </c>
      <c r="Q27" s="12" t="str">
        <f>IF(OR($D27="1 dd",$D27="2 dd",$D27="3 dd",$D27="4 dd",$D27="6 dd",$D27="8 dd",$D27="12 dd",$D27="an",$D27="1 X"),VLOOKUP($D27,PedTblTijden!$A$16:$X$26,PedTblTijden!K$14,FALSE),"")</f>
        <v/>
      </c>
      <c r="R27" s="93" t="str">
        <f>IF(OR($D27="1 dd",$D27="2 dd",$D27="3 dd",$D27="4 dd",$D27="6 dd",$D27="8 dd",$D27="12 dd",$D27="an",$D27="1 X"),VLOOKUP($D27,PedTblTijden!$A$16:$X$26,PedTblTijden!L$14,FALSE),"")</f>
        <v/>
      </c>
      <c r="S27" s="12" t="str">
        <f>IF(OR($D27="1 dd",$D27="2 dd",$D27="3 dd",$D27="4 dd",$D27="6 dd",$D27="8 dd",$D27="12 dd",$D27="an",$D27="1 X"),VLOOKUP($D27,PedTblTijden!$A$16:$X$26,PedTblTijden!M$14,FALSE),"")</f>
        <v/>
      </c>
      <c r="T27" s="93" t="str">
        <f>IF(OR($D27="1 dd",$D27="2 dd",$D27="3 dd",$D27="4 dd",$D27="6 dd",$D27="8 dd",$D27="12 dd",$D27="an",$D27="1 X"),VLOOKUP($D27,PedTblTijden!$A$16:$X$26,PedTblTijden!N$14,FALSE),"")</f>
        <v/>
      </c>
      <c r="U27" s="12" t="str">
        <f>IF(OR($D27="1 dd",$D27="2 dd",$D27="3 dd",$D27="4 dd",$D27="6 dd",$D27="8 dd",$D27="12 dd",$D27="an",$D27="1 X"),VLOOKUP($D27,PedTblTijden!$A$16:$X$26,PedTblTijden!O$14,FALSE),"")</f>
        <v/>
      </c>
      <c r="V27" s="93" t="str">
        <f>IF(OR($D27="1 dd",$D27="2 dd",$D27="3 dd",$D27="4 dd",$D27="6 dd",$D27="8 dd",$D27="12 dd",$D27="an",$D27="1 X"),VLOOKUP($D27,PedTblTijden!$A$16:$X$26,PedTblTijden!P$14,FALSE),"")</f>
        <v/>
      </c>
      <c r="W27" s="12" t="str">
        <f>IF(OR($D27="1 dd",$D27="2 dd",$D27="3 dd",$D27="4 dd",$D27="6 dd",$D27="8 dd",$D27="12 dd",$D27="an",$D27="1 X"),VLOOKUP($D27,PedTblTijden!$A$16:$X$26,PedTblTijden!Q$14,FALSE),"")</f>
        <v/>
      </c>
      <c r="X27" s="93" t="str">
        <f>IF(OR($D27="1 dd",$D27="2 dd",$D27="3 dd",$D27="4 dd",$D27="6 dd",$D27="8 dd",$D27="12 dd",$D27="an",$D27="1 X"),VLOOKUP($D27,PedTblTijden!$A$16:$X$26,PedTblTijden!R$14,FALSE),"")</f>
        <v/>
      </c>
      <c r="Y27" s="12" t="str">
        <f>IF(OR($D27="1 dd",$D27="2 dd",$D27="3 dd",$D27="4 dd",$D27="6 dd",$D27="8 dd",$D27="12 dd",$D27="an",$D27="1 X"),VLOOKUP($D27,PedTblTijden!$A$16:$X$26,PedTblTijden!S$14,FALSE),"")</f>
        <v/>
      </c>
      <c r="Z27" s="93" t="str">
        <f>IF(OR($D27="1 dd",$D27="2 dd",$D27="3 dd",$D27="4 dd",$D27="6 dd",$D27="8 dd",$D27="12 dd",$D27="an",$D27="1 X"),VLOOKUP($D27,PedTblTijden!$A$16:$X$26,PedTblTijden!T$14,FALSE),"")</f>
        <v/>
      </c>
      <c r="AA27" s="12" t="str">
        <f>IF(OR($D27="1 dd",$D27="2 dd",$D27="3 dd",$D27="4 dd",$D27="6 dd",$D27="8 dd",$D27="12 dd",$D27="an",$D27="1 X"),VLOOKUP($D27,PedTblTijden!$A$16:$X$26,PedTblTijden!U$14,FALSE),"")</f>
        <v/>
      </c>
      <c r="AB27" s="93" t="str">
        <f>IF(OR($D27="1 dd",$D27="2 dd",$D27="3 dd",$D27="4 dd",$D27="6 dd",$D27="8 dd",$D27="12 dd",$D27="an",$D27="1 X"),VLOOKUP($D27,PedTblTijden!$A$16:$X$26,PedTblTijden!V$14,FALSE),"")</f>
        <v/>
      </c>
      <c r="AC27" s="12" t="str">
        <f>IF(OR($D27="1 dd",$D27="2 dd",$D27="3 dd",$D27="4 dd",$D27="6 dd",$D27="8 dd",$D27="12 dd",$D27="an",$D27="1 X"),VLOOKUP($D27,PedTblTijden!$A$16:$X$26,PedTblTijden!W$14,FALSE),"")</f>
        <v/>
      </c>
      <c r="AD27" s="93" t="str">
        <f>IF(OR($D27="1 dd",$D27="2 dd",$D27="3 dd",$D27="4 dd",$D27="6 dd",$D27="8 dd",$D27="12 dd",$D27="an",$D27="1 X"),VLOOKUP($D27,PedTblTijden!$A$16:$X$26,PedTblTijden!X$14,FALSE),"")</f>
        <v/>
      </c>
      <c r="AE27" s="14"/>
      <c r="AF27" s="92"/>
      <c r="AG27" s="14"/>
    </row>
    <row r="28" spans="2:33" s="311" customFormat="1" ht="26.1" customHeight="1" x14ac:dyDescent="0.2">
      <c r="B28" s="94"/>
      <c r="C28" s="125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26" t="str">
        <f>IF(GlobGuiMedDisc!I34&lt;&gt;"",GlobGuiMedDisc!I34,"")</f>
        <v/>
      </c>
      <c r="E28" s="127" t="str">
        <f>IF(AND(D28&lt;&gt;"",D28&lt;&gt;"STOP"),GlobBerMedDisc!H27&amp;" "&amp;GlobBerMedDisc!F27,"")</f>
        <v/>
      </c>
      <c r="F28" s="127" t="str">
        <f>IF(AND(D28&lt;&gt;"",D28&lt;&gt;"STOP"),GlobBerMedDisc!L27," ")</f>
        <v xml:space="preserve"> </v>
      </c>
      <c r="G28" s="127" t="str">
        <f>IF(GlobGuiMedDisc!N31&lt;&gt;"",GlobGuiMedDisc!N31&amp;" "&amp;GlobGuiMedDisc!O31&amp;" "&amp;INDEX(GlobBerMedDisc!$B$27:$B$30,GlobBerMedDisc!O27,1)&amp;" in "&amp;GlobGuiMedDisc!$R$28,"")</f>
        <v/>
      </c>
      <c r="H28" s="93" t="str">
        <f>IF(OR($D28="1 dd",$D28="2 dd",$D28="3 dd",$D28="4 dd",$D28="6 dd",$D28="8 dd",$D28="12 dd",$D28="an",$D28="1 X"),VLOOKUP($D28,PedTblTijden!$A$16:$X$26,PedTblTijden!B$14,FALSE),"")</f>
        <v/>
      </c>
      <c r="I28" s="12" t="str">
        <f>IF(OR($D28="1 dd",$D28="2 dd",$D28="3 dd",$D28="4 dd",$D28="6 dd",$D28="8 dd",$D28="12 dd",$D28="an",$D28="1 X"),VLOOKUP($D28,PedTblTijden!$A$16:$X$26,PedTblTijden!C$14,FALSE),"")</f>
        <v/>
      </c>
      <c r="J28" s="93" t="str">
        <f>IF(OR($D28="1 dd",$D28="2 dd",$D28="3 dd",$D28="4 dd",$D28="6 dd",$D28="8 dd",$D28="12 dd",$D28="an",$D28="1 X"),VLOOKUP($D28,PedTblTijden!$A$16:$X$26,PedTblTijden!D$14,FALSE),"")</f>
        <v/>
      </c>
      <c r="K28" s="12" t="str">
        <f>IF(OR($D28="1 dd",$D28="2 dd",$D28="3 dd",$D28="4 dd",$D28="6 dd",$D28="8 dd",$D28="12 dd",$D28="an",$D28="1 X"),VLOOKUP($D28,PedTblTijden!$A$16:$X$26,PedTblTijden!E$14,FALSE),"")</f>
        <v/>
      </c>
      <c r="L28" s="93" t="str">
        <f>IF(OR($D28="1 dd",$D28="2 dd",$D28="3 dd",$D28="4 dd",$D28="6 dd",$D28="8 dd",$D28="12 dd",$D28="an",$D28="1 X"),VLOOKUP($D28,PedTblTijden!$A$16:$X$26,PedTblTijden!F$14,FALSE),"")</f>
        <v/>
      </c>
      <c r="M28" s="12" t="str">
        <f>IF(OR($D28="1 dd",$D28="2 dd",$D28="3 dd",$D28="4 dd",$D28="6 dd",$D28="8 dd",$D28="12 dd",$D28="an",$D28="1 X"),VLOOKUP($D28,PedTblTijden!$A$16:$X$26,PedTblTijden!G$14,FALSE),"")</f>
        <v/>
      </c>
      <c r="N28" s="93" t="str">
        <f>IF(OR($D28="1 dd",$D28="2 dd",$D28="3 dd",$D28="4 dd",$D28="6 dd",$D28="8 dd",$D28="12 dd",$D28="an",$D28="1 X"),VLOOKUP($D28,PedTblTijden!$A$16:$X$26,PedTblTijden!H$14,FALSE),"")</f>
        <v/>
      </c>
      <c r="O28" s="12" t="str">
        <f>IF(OR($D28="1 dd",$D28="2 dd",$D28="3 dd",$D28="4 dd",$D28="6 dd",$D28="8 dd",$D28="12 dd",$D28="an",$D28="1 X"),VLOOKUP($D28,PedTblTijden!$A$16:$X$26,PedTblTijden!I$14,FALSE),"")</f>
        <v/>
      </c>
      <c r="P28" s="93" t="str">
        <f>IF(OR($D28="1 dd",$D28="2 dd",$D28="3 dd",$D28="4 dd",$D28="6 dd",$D28="8 dd",$D28="12 dd",$D28="an",$D28="1 X"),VLOOKUP($D28,PedTblTijden!$A$16:$X$26,PedTblTijden!J$14,FALSE),"")</f>
        <v/>
      </c>
      <c r="Q28" s="12" t="str">
        <f>IF(OR($D28="1 dd",$D28="2 dd",$D28="3 dd",$D28="4 dd",$D28="6 dd",$D28="8 dd",$D28="12 dd",$D28="an",$D28="1 X"),VLOOKUP($D28,PedTblTijden!$A$16:$X$26,PedTblTijden!K$14,FALSE),"")</f>
        <v/>
      </c>
      <c r="R28" s="93" t="str">
        <f>IF(OR($D28="1 dd",$D28="2 dd",$D28="3 dd",$D28="4 dd",$D28="6 dd",$D28="8 dd",$D28="12 dd",$D28="an",$D28="1 X"),VLOOKUP($D28,PedTblTijden!$A$16:$X$26,PedTblTijden!L$14,FALSE),"")</f>
        <v/>
      </c>
      <c r="S28" s="12" t="str">
        <f>IF(OR($D28="1 dd",$D28="2 dd",$D28="3 dd",$D28="4 dd",$D28="6 dd",$D28="8 dd",$D28="12 dd",$D28="an",$D28="1 X"),VLOOKUP($D28,PedTblTijden!$A$16:$X$26,PedTblTijden!M$14,FALSE),"")</f>
        <v/>
      </c>
      <c r="T28" s="93" t="str">
        <f>IF(OR($D28="1 dd",$D28="2 dd",$D28="3 dd",$D28="4 dd",$D28="6 dd",$D28="8 dd",$D28="12 dd",$D28="an",$D28="1 X"),VLOOKUP($D28,PedTblTijden!$A$16:$X$26,PedTblTijden!N$14,FALSE),"")</f>
        <v/>
      </c>
      <c r="U28" s="12" t="str">
        <f>IF(OR($D28="1 dd",$D28="2 dd",$D28="3 dd",$D28="4 dd",$D28="6 dd",$D28="8 dd",$D28="12 dd",$D28="an",$D28="1 X"),VLOOKUP($D28,PedTblTijden!$A$16:$X$26,PedTblTijden!O$14,FALSE),"")</f>
        <v/>
      </c>
      <c r="V28" s="93" t="str">
        <f>IF(OR($D28="1 dd",$D28="2 dd",$D28="3 dd",$D28="4 dd",$D28="6 dd",$D28="8 dd",$D28="12 dd",$D28="an",$D28="1 X"),VLOOKUP($D28,PedTblTijden!$A$16:$X$26,PedTblTijden!P$14,FALSE),"")</f>
        <v/>
      </c>
      <c r="W28" s="12" t="str">
        <f>IF(OR($D28="1 dd",$D28="2 dd",$D28="3 dd",$D28="4 dd",$D28="6 dd",$D28="8 dd",$D28="12 dd",$D28="an",$D28="1 X"),VLOOKUP($D28,PedTblTijden!$A$16:$X$26,PedTblTijden!Q$14,FALSE),"")</f>
        <v/>
      </c>
      <c r="X28" s="93" t="str">
        <f>IF(OR($D28="1 dd",$D28="2 dd",$D28="3 dd",$D28="4 dd",$D28="6 dd",$D28="8 dd",$D28="12 dd",$D28="an",$D28="1 X"),VLOOKUP($D28,PedTblTijden!$A$16:$X$26,PedTblTijden!R$14,FALSE),"")</f>
        <v/>
      </c>
      <c r="Y28" s="12" t="str">
        <f>IF(OR($D28="1 dd",$D28="2 dd",$D28="3 dd",$D28="4 dd",$D28="6 dd",$D28="8 dd",$D28="12 dd",$D28="an",$D28="1 X"),VLOOKUP($D28,PedTblTijden!$A$16:$X$26,PedTblTijden!S$14,FALSE),"")</f>
        <v/>
      </c>
      <c r="Z28" s="93" t="str">
        <f>IF(OR($D28="1 dd",$D28="2 dd",$D28="3 dd",$D28="4 dd",$D28="6 dd",$D28="8 dd",$D28="12 dd",$D28="an",$D28="1 X"),VLOOKUP($D28,PedTblTijden!$A$16:$X$26,PedTblTijden!T$14,FALSE),"")</f>
        <v/>
      </c>
      <c r="AA28" s="12" t="str">
        <f>IF(OR($D28="1 dd",$D28="2 dd",$D28="3 dd",$D28="4 dd",$D28="6 dd",$D28="8 dd",$D28="12 dd",$D28="an",$D28="1 X"),VLOOKUP($D28,PedTblTijden!$A$16:$X$26,PedTblTijden!U$14,FALSE),"")</f>
        <v/>
      </c>
      <c r="AB28" s="93" t="str">
        <f>IF(OR($D28="1 dd",$D28="2 dd",$D28="3 dd",$D28="4 dd",$D28="6 dd",$D28="8 dd",$D28="12 dd",$D28="an",$D28="1 X"),VLOOKUP($D28,PedTblTijden!$A$16:$X$26,PedTblTijden!V$14,FALSE),"")</f>
        <v/>
      </c>
      <c r="AC28" s="12" t="str">
        <f>IF(OR($D28="1 dd",$D28="2 dd",$D28="3 dd",$D28="4 dd",$D28="6 dd",$D28="8 dd",$D28="12 dd",$D28="an",$D28="1 X"),VLOOKUP($D28,PedTblTijden!$A$16:$X$26,PedTblTijden!W$14,FALSE),"")</f>
        <v/>
      </c>
      <c r="AD28" s="93" t="str">
        <f>IF(OR($D28="1 dd",$D28="2 dd",$D28="3 dd",$D28="4 dd",$D28="6 dd",$D28="8 dd",$D28="12 dd",$D28="an",$D28="1 X"),VLOOKUP($D28,PedTblTijden!$A$16:$X$26,PedTblTijden!X$14,FALSE),"")</f>
        <v/>
      </c>
      <c r="AE28" s="14"/>
      <c r="AF28" s="92"/>
      <c r="AG28" s="14"/>
    </row>
    <row r="29" spans="2:33" s="311" customFormat="1" ht="26.1" customHeight="1" x14ac:dyDescent="0.2">
      <c r="B29" s="94"/>
      <c r="C29" s="125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26" t="str">
        <f>IF(GlobGuiMedDisc!I35&lt;&gt;"",GlobGuiMedDisc!I35,"")</f>
        <v/>
      </c>
      <c r="E29" s="127" t="str">
        <f>IF(AND(D29&lt;&gt;"",D29&lt;&gt;"STOP"),GlobBerMedDisc!H28&amp;" "&amp;GlobBerMedDisc!F28,"")</f>
        <v/>
      </c>
      <c r="F29" s="127" t="str">
        <f>IF(AND(D29&lt;&gt;"",D29&lt;&gt;"STOP"),GlobBerMedDisc!L28," ")</f>
        <v xml:space="preserve"> </v>
      </c>
      <c r="G29" s="127" t="e">
        <f>IF(GlobGuiMedDisc!#REF!&lt;&gt;"",GlobGuiMedDisc!#REF!&amp;" "&amp;GlobGuiMedDisc!#REF!&amp;" "&amp;INDEX(GlobBerMedDisc!$B$27:$B$30,GlobBerMedDisc!O28,1)&amp;" in "&amp;GlobGuiMedDisc!$R$28,"")</f>
        <v>#REF!</v>
      </c>
      <c r="H29" s="93" t="str">
        <f>IF(OR($D29="1 dd",$D29="2 dd",$D29="3 dd",$D29="4 dd",$D29="6 dd",$D29="8 dd",$D29="12 dd",$D29="an",$D29="1 X"),VLOOKUP($D29,PedTblTijden!$A$16:$X$26,PedTblTijden!B$14,FALSE),"")</f>
        <v/>
      </c>
      <c r="I29" s="12" t="str">
        <f>IF(OR($D29="1 dd",$D29="2 dd",$D29="3 dd",$D29="4 dd",$D29="6 dd",$D29="8 dd",$D29="12 dd",$D29="an",$D29="1 X"),VLOOKUP($D29,PedTblTijden!$A$16:$X$26,PedTblTijden!C$14,FALSE),"")</f>
        <v/>
      </c>
      <c r="J29" s="93" t="str">
        <f>IF(OR($D29="1 dd",$D29="2 dd",$D29="3 dd",$D29="4 dd",$D29="6 dd",$D29="8 dd",$D29="12 dd",$D29="an",$D29="1 X"),VLOOKUP($D29,PedTblTijden!$A$16:$X$26,PedTblTijden!D$14,FALSE),"")</f>
        <v/>
      </c>
      <c r="K29" s="12" t="str">
        <f>IF(OR($D29="1 dd",$D29="2 dd",$D29="3 dd",$D29="4 dd",$D29="6 dd",$D29="8 dd",$D29="12 dd",$D29="an",$D29="1 X"),VLOOKUP($D29,PedTblTijden!$A$16:$X$26,PedTblTijden!E$14,FALSE),"")</f>
        <v/>
      </c>
      <c r="L29" s="93" t="str">
        <f>IF(OR($D29="1 dd",$D29="2 dd",$D29="3 dd",$D29="4 dd",$D29="6 dd",$D29="8 dd",$D29="12 dd",$D29="an",$D29="1 X"),VLOOKUP($D29,PedTblTijden!$A$16:$X$26,PedTblTijden!F$14,FALSE),"")</f>
        <v/>
      </c>
      <c r="M29" s="12" t="str">
        <f>IF(OR($D29="1 dd",$D29="2 dd",$D29="3 dd",$D29="4 dd",$D29="6 dd",$D29="8 dd",$D29="12 dd",$D29="an",$D29="1 X"),VLOOKUP($D29,PedTblTijden!$A$16:$X$26,PedTblTijden!G$14,FALSE),"")</f>
        <v/>
      </c>
      <c r="N29" s="93" t="str">
        <f>IF(OR($D29="1 dd",$D29="2 dd",$D29="3 dd",$D29="4 dd",$D29="6 dd",$D29="8 dd",$D29="12 dd",$D29="an",$D29="1 X"),VLOOKUP($D29,PedTblTijden!$A$16:$X$26,PedTblTijden!H$14,FALSE),"")</f>
        <v/>
      </c>
      <c r="O29" s="12" t="str">
        <f>IF(OR($D29="1 dd",$D29="2 dd",$D29="3 dd",$D29="4 dd",$D29="6 dd",$D29="8 dd",$D29="12 dd",$D29="an",$D29="1 X"),VLOOKUP($D29,PedTblTijden!$A$16:$X$26,PedTblTijden!I$14,FALSE),"")</f>
        <v/>
      </c>
      <c r="P29" s="93" t="str">
        <f>IF(OR($D29="1 dd",$D29="2 dd",$D29="3 dd",$D29="4 dd",$D29="6 dd",$D29="8 dd",$D29="12 dd",$D29="an",$D29="1 X"),VLOOKUP($D29,PedTblTijden!$A$16:$X$26,PedTblTijden!J$14,FALSE),"")</f>
        <v/>
      </c>
      <c r="Q29" s="12" t="str">
        <f>IF(OR($D29="1 dd",$D29="2 dd",$D29="3 dd",$D29="4 dd",$D29="6 dd",$D29="8 dd",$D29="12 dd",$D29="an",$D29="1 X"),VLOOKUP($D29,PedTblTijden!$A$16:$X$26,PedTblTijden!K$14,FALSE),"")</f>
        <v/>
      </c>
      <c r="R29" s="93" t="str">
        <f>IF(OR($D29="1 dd",$D29="2 dd",$D29="3 dd",$D29="4 dd",$D29="6 dd",$D29="8 dd",$D29="12 dd",$D29="an",$D29="1 X"),VLOOKUP($D29,PedTblTijden!$A$16:$X$26,PedTblTijden!L$14,FALSE),"")</f>
        <v/>
      </c>
      <c r="S29" s="12" t="str">
        <f>IF(OR($D29="1 dd",$D29="2 dd",$D29="3 dd",$D29="4 dd",$D29="6 dd",$D29="8 dd",$D29="12 dd",$D29="an",$D29="1 X"),VLOOKUP($D29,PedTblTijden!$A$16:$X$26,PedTblTijden!M$14,FALSE),"")</f>
        <v/>
      </c>
      <c r="T29" s="93" t="str">
        <f>IF(OR($D29="1 dd",$D29="2 dd",$D29="3 dd",$D29="4 dd",$D29="6 dd",$D29="8 dd",$D29="12 dd",$D29="an",$D29="1 X"),VLOOKUP($D29,PedTblTijden!$A$16:$X$26,PedTblTijden!N$14,FALSE),"")</f>
        <v/>
      </c>
      <c r="U29" s="12" t="str">
        <f>IF(OR($D29="1 dd",$D29="2 dd",$D29="3 dd",$D29="4 dd",$D29="6 dd",$D29="8 dd",$D29="12 dd",$D29="an",$D29="1 X"),VLOOKUP($D29,PedTblTijden!$A$16:$X$26,PedTblTijden!O$14,FALSE),"")</f>
        <v/>
      </c>
      <c r="V29" s="93" t="str">
        <f>IF(OR($D29="1 dd",$D29="2 dd",$D29="3 dd",$D29="4 dd",$D29="6 dd",$D29="8 dd",$D29="12 dd",$D29="an",$D29="1 X"),VLOOKUP($D29,PedTblTijden!$A$16:$X$26,PedTblTijden!P$14,FALSE),"")</f>
        <v/>
      </c>
      <c r="W29" s="12" t="str">
        <f>IF(OR($D29="1 dd",$D29="2 dd",$D29="3 dd",$D29="4 dd",$D29="6 dd",$D29="8 dd",$D29="12 dd",$D29="an",$D29="1 X"),VLOOKUP($D29,PedTblTijden!$A$16:$X$26,PedTblTijden!Q$14,FALSE),"")</f>
        <v/>
      </c>
      <c r="X29" s="93" t="str">
        <f>IF(OR($D29="1 dd",$D29="2 dd",$D29="3 dd",$D29="4 dd",$D29="6 dd",$D29="8 dd",$D29="12 dd",$D29="an",$D29="1 X"),VLOOKUP($D29,PedTblTijden!$A$16:$X$26,PedTblTijden!R$14,FALSE),"")</f>
        <v/>
      </c>
      <c r="Y29" s="12" t="str">
        <f>IF(OR($D29="1 dd",$D29="2 dd",$D29="3 dd",$D29="4 dd",$D29="6 dd",$D29="8 dd",$D29="12 dd",$D29="an",$D29="1 X"),VLOOKUP($D29,PedTblTijden!$A$16:$X$26,PedTblTijden!S$14,FALSE),"")</f>
        <v/>
      </c>
      <c r="Z29" s="93" t="str">
        <f>IF(OR($D29="1 dd",$D29="2 dd",$D29="3 dd",$D29="4 dd",$D29="6 dd",$D29="8 dd",$D29="12 dd",$D29="an",$D29="1 X"),VLOOKUP($D29,PedTblTijden!$A$16:$X$26,PedTblTijden!T$14,FALSE),"")</f>
        <v/>
      </c>
      <c r="AA29" s="12" t="str">
        <f>IF(OR($D29="1 dd",$D29="2 dd",$D29="3 dd",$D29="4 dd",$D29="6 dd",$D29="8 dd",$D29="12 dd",$D29="an",$D29="1 X"),VLOOKUP($D29,PedTblTijden!$A$16:$X$26,PedTblTijden!U$14,FALSE),"")</f>
        <v/>
      </c>
      <c r="AB29" s="93" t="str">
        <f>IF(OR($D29="1 dd",$D29="2 dd",$D29="3 dd",$D29="4 dd",$D29="6 dd",$D29="8 dd",$D29="12 dd",$D29="an",$D29="1 X"),VLOOKUP($D29,PedTblTijden!$A$16:$X$26,PedTblTijden!V$14,FALSE),"")</f>
        <v/>
      </c>
      <c r="AC29" s="12" t="str">
        <f>IF(OR($D29="1 dd",$D29="2 dd",$D29="3 dd",$D29="4 dd",$D29="6 dd",$D29="8 dd",$D29="12 dd",$D29="an",$D29="1 X"),VLOOKUP($D29,PedTblTijden!$A$16:$X$26,PedTblTijden!W$14,FALSE),"")</f>
        <v/>
      </c>
      <c r="AD29" s="93" t="str">
        <f>IF(OR($D29="1 dd",$D29="2 dd",$D29="3 dd",$D29="4 dd",$D29="6 dd",$D29="8 dd",$D29="12 dd",$D29="an",$D29="1 X"),VLOOKUP($D29,PedTblTijden!$A$16:$X$26,PedTblTijden!X$14,FALSE),"")</f>
        <v/>
      </c>
      <c r="AE29" s="14"/>
      <c r="AF29" s="92"/>
      <c r="AG29" s="14"/>
    </row>
    <row r="30" spans="2:33" s="311" customFormat="1" ht="26.1" customHeight="1" x14ac:dyDescent="0.2">
      <c r="B30" s="94"/>
      <c r="C30" s="125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26" t="str">
        <f>IF(GlobGuiMedDisc!I36&lt;&gt;"",GlobGuiMedDisc!I36,"")</f>
        <v/>
      </c>
      <c r="E30" s="127" t="str">
        <f>IF(AND(D30&lt;&gt;"",D30&lt;&gt;"STOP"),GlobBerMedDisc!H29&amp;" "&amp;GlobBerMedDisc!F29,"")</f>
        <v/>
      </c>
      <c r="F30" s="127" t="str">
        <f>IF(AND(D30&lt;&gt;"",D30&lt;&gt;"STOP"),GlobBerMedDisc!L29," ")</f>
        <v xml:space="preserve"> </v>
      </c>
      <c r="G30" s="127" t="str">
        <f>IF(GlobGuiMedDisc!N32&lt;&gt;"",GlobGuiMedDisc!N32&amp;" "&amp;GlobGuiMedDisc!O32&amp;" "&amp;INDEX(GlobBerMedDisc!$B$27:$B$30,GlobBerMedDisc!O29,1)&amp;" in "&amp;GlobGuiMedDisc!$R$28,"")</f>
        <v/>
      </c>
      <c r="H30" s="93" t="str">
        <f>IF(OR($D30="1 dd",$D30="2 dd",$D30="3 dd",$D30="4 dd",$D30="6 dd",$D30="8 dd",$D30="12 dd",$D30="an",$D30="1 X"),VLOOKUP($D30,PedTblTijden!$A$16:$X$26,PedTblTijden!B$14,FALSE),"")</f>
        <v/>
      </c>
      <c r="I30" s="12" t="str">
        <f>IF(OR($D30="1 dd",$D30="2 dd",$D30="3 dd",$D30="4 dd",$D30="6 dd",$D30="8 dd",$D30="12 dd",$D30="an",$D30="1 X"),VLOOKUP($D30,PedTblTijden!$A$16:$X$26,PedTblTijden!C$14,FALSE),"")</f>
        <v/>
      </c>
      <c r="J30" s="93" t="str">
        <f>IF(OR($D30="1 dd",$D30="2 dd",$D30="3 dd",$D30="4 dd",$D30="6 dd",$D30="8 dd",$D30="12 dd",$D30="an",$D30="1 X"),VLOOKUP($D30,PedTblTijden!$A$16:$X$26,PedTblTijden!D$14,FALSE),"")</f>
        <v/>
      </c>
      <c r="K30" s="12" t="str">
        <f>IF(OR($D30="1 dd",$D30="2 dd",$D30="3 dd",$D30="4 dd",$D30="6 dd",$D30="8 dd",$D30="12 dd",$D30="an",$D30="1 X"),VLOOKUP($D30,PedTblTijden!$A$16:$X$26,PedTblTijden!E$14,FALSE),"")</f>
        <v/>
      </c>
      <c r="L30" s="93" t="str">
        <f>IF(OR($D30="1 dd",$D30="2 dd",$D30="3 dd",$D30="4 dd",$D30="6 dd",$D30="8 dd",$D30="12 dd",$D30="an",$D30="1 X"),VLOOKUP($D30,PedTblTijden!$A$16:$X$26,PedTblTijden!F$14,FALSE),"")</f>
        <v/>
      </c>
      <c r="M30" s="12" t="str">
        <f>IF(OR($D30="1 dd",$D30="2 dd",$D30="3 dd",$D30="4 dd",$D30="6 dd",$D30="8 dd",$D30="12 dd",$D30="an",$D30="1 X"),VLOOKUP($D30,PedTblTijden!$A$16:$X$26,PedTblTijden!G$14,FALSE),"")</f>
        <v/>
      </c>
      <c r="N30" s="93" t="str">
        <f>IF(OR($D30="1 dd",$D30="2 dd",$D30="3 dd",$D30="4 dd",$D30="6 dd",$D30="8 dd",$D30="12 dd",$D30="an",$D30="1 X"),VLOOKUP($D30,PedTblTijden!$A$16:$X$26,PedTblTijden!H$14,FALSE),"")</f>
        <v/>
      </c>
      <c r="O30" s="12" t="str">
        <f>IF(OR($D30="1 dd",$D30="2 dd",$D30="3 dd",$D30="4 dd",$D30="6 dd",$D30="8 dd",$D30="12 dd",$D30="an",$D30="1 X"),VLOOKUP($D30,PedTblTijden!$A$16:$X$26,PedTblTijden!I$14,FALSE),"")</f>
        <v/>
      </c>
      <c r="P30" s="93" t="str">
        <f>IF(OR($D30="1 dd",$D30="2 dd",$D30="3 dd",$D30="4 dd",$D30="6 dd",$D30="8 dd",$D30="12 dd",$D30="an",$D30="1 X"),VLOOKUP($D30,PedTblTijden!$A$16:$X$26,PedTblTijden!J$14,FALSE),"")</f>
        <v/>
      </c>
      <c r="Q30" s="12" t="str">
        <f>IF(OR($D30="1 dd",$D30="2 dd",$D30="3 dd",$D30="4 dd",$D30="6 dd",$D30="8 dd",$D30="12 dd",$D30="an",$D30="1 X"),VLOOKUP($D30,PedTblTijden!$A$16:$X$26,PedTblTijden!K$14,FALSE),"")</f>
        <v/>
      </c>
      <c r="R30" s="93" t="str">
        <f>IF(OR($D30="1 dd",$D30="2 dd",$D30="3 dd",$D30="4 dd",$D30="6 dd",$D30="8 dd",$D30="12 dd",$D30="an",$D30="1 X"),VLOOKUP($D30,PedTblTijden!$A$16:$X$26,PedTblTijden!L$14,FALSE),"")</f>
        <v/>
      </c>
      <c r="S30" s="12" t="str">
        <f>IF(OR($D30="1 dd",$D30="2 dd",$D30="3 dd",$D30="4 dd",$D30="6 dd",$D30="8 dd",$D30="12 dd",$D30="an",$D30="1 X"),VLOOKUP($D30,PedTblTijden!$A$16:$X$26,PedTblTijden!M$14,FALSE),"")</f>
        <v/>
      </c>
      <c r="T30" s="93" t="str">
        <f>IF(OR($D30="1 dd",$D30="2 dd",$D30="3 dd",$D30="4 dd",$D30="6 dd",$D30="8 dd",$D30="12 dd",$D30="an",$D30="1 X"),VLOOKUP($D30,PedTblTijden!$A$16:$X$26,PedTblTijden!N$14,FALSE),"")</f>
        <v/>
      </c>
      <c r="U30" s="12" t="str">
        <f>IF(OR($D30="1 dd",$D30="2 dd",$D30="3 dd",$D30="4 dd",$D30="6 dd",$D30="8 dd",$D30="12 dd",$D30="an",$D30="1 X"),VLOOKUP($D30,PedTblTijden!$A$16:$X$26,PedTblTijden!O$14,FALSE),"")</f>
        <v/>
      </c>
      <c r="V30" s="93" t="str">
        <f>IF(OR($D30="1 dd",$D30="2 dd",$D30="3 dd",$D30="4 dd",$D30="6 dd",$D30="8 dd",$D30="12 dd",$D30="an",$D30="1 X"),VLOOKUP($D30,PedTblTijden!$A$16:$X$26,PedTblTijden!P$14,FALSE),"")</f>
        <v/>
      </c>
      <c r="W30" s="12" t="str">
        <f>IF(OR($D30="1 dd",$D30="2 dd",$D30="3 dd",$D30="4 dd",$D30="6 dd",$D30="8 dd",$D30="12 dd",$D30="an",$D30="1 X"),VLOOKUP($D30,PedTblTijden!$A$16:$X$26,PedTblTijden!Q$14,FALSE),"")</f>
        <v/>
      </c>
      <c r="X30" s="93" t="str">
        <f>IF(OR($D30="1 dd",$D30="2 dd",$D30="3 dd",$D30="4 dd",$D30="6 dd",$D30="8 dd",$D30="12 dd",$D30="an",$D30="1 X"),VLOOKUP($D30,PedTblTijden!$A$16:$X$26,PedTblTijden!R$14,FALSE),"")</f>
        <v/>
      </c>
      <c r="Y30" s="12" t="str">
        <f>IF(OR($D30="1 dd",$D30="2 dd",$D30="3 dd",$D30="4 dd",$D30="6 dd",$D30="8 dd",$D30="12 dd",$D30="an",$D30="1 X"),VLOOKUP($D30,PedTblTijden!$A$16:$X$26,PedTblTijden!S$14,FALSE),"")</f>
        <v/>
      </c>
      <c r="Z30" s="93" t="str">
        <f>IF(OR($D30="1 dd",$D30="2 dd",$D30="3 dd",$D30="4 dd",$D30="6 dd",$D30="8 dd",$D30="12 dd",$D30="an",$D30="1 X"),VLOOKUP($D30,PedTblTijden!$A$16:$X$26,PedTblTijden!T$14,FALSE),"")</f>
        <v/>
      </c>
      <c r="AA30" s="12" t="str">
        <f>IF(OR($D30="1 dd",$D30="2 dd",$D30="3 dd",$D30="4 dd",$D30="6 dd",$D30="8 dd",$D30="12 dd",$D30="an",$D30="1 X"),VLOOKUP($D30,PedTblTijden!$A$16:$X$26,PedTblTijden!U$14,FALSE),"")</f>
        <v/>
      </c>
      <c r="AB30" s="93" t="str">
        <f>IF(OR($D30="1 dd",$D30="2 dd",$D30="3 dd",$D30="4 dd",$D30="6 dd",$D30="8 dd",$D30="12 dd",$D30="an",$D30="1 X"),VLOOKUP($D30,PedTblTijden!$A$16:$X$26,PedTblTijden!V$14,FALSE),"")</f>
        <v/>
      </c>
      <c r="AC30" s="12" t="str">
        <f>IF(OR($D30="1 dd",$D30="2 dd",$D30="3 dd",$D30="4 dd",$D30="6 dd",$D30="8 dd",$D30="12 dd",$D30="an",$D30="1 X"),VLOOKUP($D30,PedTblTijden!$A$16:$X$26,PedTblTijden!W$14,FALSE),"")</f>
        <v/>
      </c>
      <c r="AD30" s="93" t="str">
        <f>IF(OR($D30="1 dd",$D30="2 dd",$D30="3 dd",$D30="4 dd",$D30="6 dd",$D30="8 dd",$D30="12 dd",$D30="an",$D30="1 X"),VLOOKUP($D30,PedTblTijden!$A$16:$X$26,PedTblTijden!X$14,FALSE),"")</f>
        <v/>
      </c>
      <c r="AE30" s="14"/>
      <c r="AF30" s="92"/>
      <c r="AG30" s="14"/>
    </row>
    <row r="31" spans="2:33" s="311" customFormat="1" ht="26.1" customHeight="1" x14ac:dyDescent="0.2">
      <c r="B31" s="94"/>
      <c r="C31" s="125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26" t="str">
        <f>IF(GlobGuiMedDisc!I37&lt;&gt;"",GlobGuiMedDisc!I37,"")</f>
        <v/>
      </c>
      <c r="E31" s="127" t="str">
        <f>IF(AND(D31&lt;&gt;"",D31&lt;&gt;"STOP"),GlobBerMedDisc!H30&amp;" "&amp;GlobBerMedDisc!F30,"")</f>
        <v/>
      </c>
      <c r="F31" s="127" t="str">
        <f>IF(AND(D31&lt;&gt;"",D31&lt;&gt;"STOP"),GlobBerMedDisc!L30," ")</f>
        <v xml:space="preserve"> </v>
      </c>
      <c r="G31" s="127" t="e">
        <f>IF(GlobGuiMedDisc!#REF!&lt;&gt;"",GlobGuiMedDisc!#REF!&amp;" "&amp;GlobGuiMedDisc!#REF!&amp;" "&amp;INDEX(GlobBerMedDisc!$B$27:$B$30,GlobBerMedDisc!O30,1)&amp;" in "&amp;GlobGuiMedDisc!$R$28,"")</f>
        <v>#REF!</v>
      </c>
      <c r="H31" s="93" t="str">
        <f>IF(OR($D31="1 dd",$D31="2 dd",$D31="3 dd",$D31="4 dd",$D31="6 dd",$D31="8 dd",$D31="12 dd",$D31="an",$D31="1 X"),VLOOKUP($D31,PedTblTijden!$A$16:$X$26,PedTblTijden!B$14,FALSE),"")</f>
        <v/>
      </c>
      <c r="I31" s="12" t="str">
        <f>IF(OR($D31="1 dd",$D31="2 dd",$D31="3 dd",$D31="4 dd",$D31="6 dd",$D31="8 dd",$D31="12 dd",$D31="an",$D31="1 X"),VLOOKUP($D31,PedTblTijden!$A$16:$X$26,PedTblTijden!C$14,FALSE),"")</f>
        <v/>
      </c>
      <c r="J31" s="93" t="str">
        <f>IF(OR($D31="1 dd",$D31="2 dd",$D31="3 dd",$D31="4 dd",$D31="6 dd",$D31="8 dd",$D31="12 dd",$D31="an",$D31="1 X"),VLOOKUP($D31,PedTblTijden!$A$16:$X$26,PedTblTijden!D$14,FALSE),"")</f>
        <v/>
      </c>
      <c r="K31" s="12" t="str">
        <f>IF(OR($D31="1 dd",$D31="2 dd",$D31="3 dd",$D31="4 dd",$D31="6 dd",$D31="8 dd",$D31="12 dd",$D31="an",$D31="1 X"),VLOOKUP($D31,PedTblTijden!$A$16:$X$26,PedTblTijden!E$14,FALSE),"")</f>
        <v/>
      </c>
      <c r="L31" s="93" t="str">
        <f>IF(OR($D31="1 dd",$D31="2 dd",$D31="3 dd",$D31="4 dd",$D31="6 dd",$D31="8 dd",$D31="12 dd",$D31="an",$D31="1 X"),VLOOKUP($D31,PedTblTijden!$A$16:$X$26,PedTblTijden!F$14,FALSE),"")</f>
        <v/>
      </c>
      <c r="M31" s="12" t="str">
        <f>IF(OR($D31="1 dd",$D31="2 dd",$D31="3 dd",$D31="4 dd",$D31="6 dd",$D31="8 dd",$D31="12 dd",$D31="an",$D31="1 X"),VLOOKUP($D31,PedTblTijden!$A$16:$X$26,PedTblTijden!G$14,FALSE),"")</f>
        <v/>
      </c>
      <c r="N31" s="93" t="str">
        <f>IF(OR($D31="1 dd",$D31="2 dd",$D31="3 dd",$D31="4 dd",$D31="6 dd",$D31="8 dd",$D31="12 dd",$D31="an",$D31="1 X"),VLOOKUP($D31,PedTblTijden!$A$16:$X$26,PedTblTijden!H$14,FALSE),"")</f>
        <v/>
      </c>
      <c r="O31" s="12" t="str">
        <f>IF(OR($D31="1 dd",$D31="2 dd",$D31="3 dd",$D31="4 dd",$D31="6 dd",$D31="8 dd",$D31="12 dd",$D31="an",$D31="1 X"),VLOOKUP($D31,PedTblTijden!$A$16:$X$26,PedTblTijden!I$14,FALSE),"")</f>
        <v/>
      </c>
      <c r="P31" s="93" t="str">
        <f>IF(OR($D31="1 dd",$D31="2 dd",$D31="3 dd",$D31="4 dd",$D31="6 dd",$D31="8 dd",$D31="12 dd",$D31="an",$D31="1 X"),VLOOKUP($D31,PedTblTijden!$A$16:$X$26,PedTblTijden!J$14,FALSE),"")</f>
        <v/>
      </c>
      <c r="Q31" s="12" t="str">
        <f>IF(OR($D31="1 dd",$D31="2 dd",$D31="3 dd",$D31="4 dd",$D31="6 dd",$D31="8 dd",$D31="12 dd",$D31="an",$D31="1 X"),VLOOKUP($D31,PedTblTijden!$A$16:$X$26,PedTblTijden!K$14,FALSE),"")</f>
        <v/>
      </c>
      <c r="R31" s="93" t="str">
        <f>IF(OR($D31="1 dd",$D31="2 dd",$D31="3 dd",$D31="4 dd",$D31="6 dd",$D31="8 dd",$D31="12 dd",$D31="an",$D31="1 X"),VLOOKUP($D31,PedTblTijden!$A$16:$X$26,PedTblTijden!L$14,FALSE),"")</f>
        <v/>
      </c>
      <c r="S31" s="12" t="str">
        <f>IF(OR($D31="1 dd",$D31="2 dd",$D31="3 dd",$D31="4 dd",$D31="6 dd",$D31="8 dd",$D31="12 dd",$D31="an",$D31="1 X"),VLOOKUP($D31,PedTblTijden!$A$16:$X$26,PedTblTijden!M$14,FALSE),"")</f>
        <v/>
      </c>
      <c r="T31" s="93" t="str">
        <f>IF(OR($D31="1 dd",$D31="2 dd",$D31="3 dd",$D31="4 dd",$D31="6 dd",$D31="8 dd",$D31="12 dd",$D31="an",$D31="1 X"),VLOOKUP($D31,PedTblTijden!$A$16:$X$26,PedTblTijden!N$14,FALSE),"")</f>
        <v/>
      </c>
      <c r="U31" s="12" t="str">
        <f>IF(OR($D31="1 dd",$D31="2 dd",$D31="3 dd",$D31="4 dd",$D31="6 dd",$D31="8 dd",$D31="12 dd",$D31="an",$D31="1 X"),VLOOKUP($D31,PedTblTijden!$A$16:$X$26,PedTblTijden!O$14,FALSE),"")</f>
        <v/>
      </c>
      <c r="V31" s="93" t="str">
        <f>IF(OR($D31="1 dd",$D31="2 dd",$D31="3 dd",$D31="4 dd",$D31="6 dd",$D31="8 dd",$D31="12 dd",$D31="an",$D31="1 X"),VLOOKUP($D31,PedTblTijden!$A$16:$X$26,PedTblTijden!P$14,FALSE),"")</f>
        <v/>
      </c>
      <c r="W31" s="12" t="str">
        <f>IF(OR($D31="1 dd",$D31="2 dd",$D31="3 dd",$D31="4 dd",$D31="6 dd",$D31="8 dd",$D31="12 dd",$D31="an",$D31="1 X"),VLOOKUP($D31,PedTblTijden!$A$16:$X$26,PedTblTijden!Q$14,FALSE),"")</f>
        <v/>
      </c>
      <c r="X31" s="93" t="str">
        <f>IF(OR($D31="1 dd",$D31="2 dd",$D31="3 dd",$D31="4 dd",$D31="6 dd",$D31="8 dd",$D31="12 dd",$D31="an",$D31="1 X"),VLOOKUP($D31,PedTblTijden!$A$16:$X$26,PedTblTijden!R$14,FALSE),"")</f>
        <v/>
      </c>
      <c r="Y31" s="12" t="str">
        <f>IF(OR($D31="1 dd",$D31="2 dd",$D31="3 dd",$D31="4 dd",$D31="6 dd",$D31="8 dd",$D31="12 dd",$D31="an",$D31="1 X"),VLOOKUP($D31,PedTblTijden!$A$16:$X$26,PedTblTijden!S$14,FALSE),"")</f>
        <v/>
      </c>
      <c r="Z31" s="93" t="str">
        <f>IF(OR($D31="1 dd",$D31="2 dd",$D31="3 dd",$D31="4 dd",$D31="6 dd",$D31="8 dd",$D31="12 dd",$D31="an",$D31="1 X"),VLOOKUP($D31,PedTblTijden!$A$16:$X$26,PedTblTijden!T$14,FALSE),"")</f>
        <v/>
      </c>
      <c r="AA31" s="12" t="str">
        <f>IF(OR($D31="1 dd",$D31="2 dd",$D31="3 dd",$D31="4 dd",$D31="6 dd",$D31="8 dd",$D31="12 dd",$D31="an",$D31="1 X"),VLOOKUP($D31,PedTblTijden!$A$16:$X$26,PedTblTijden!U$14,FALSE),"")</f>
        <v/>
      </c>
      <c r="AB31" s="93" t="str">
        <f>IF(OR($D31="1 dd",$D31="2 dd",$D31="3 dd",$D31="4 dd",$D31="6 dd",$D31="8 dd",$D31="12 dd",$D31="an",$D31="1 X"),VLOOKUP($D31,PedTblTijden!$A$16:$X$26,PedTblTijden!V$14,FALSE),"")</f>
        <v/>
      </c>
      <c r="AC31" s="12" t="str">
        <f>IF(OR($D31="1 dd",$D31="2 dd",$D31="3 dd",$D31="4 dd",$D31="6 dd",$D31="8 dd",$D31="12 dd",$D31="an",$D31="1 X"),VLOOKUP($D31,PedTblTijden!$A$16:$X$26,PedTblTijden!W$14,FALSE),"")</f>
        <v/>
      </c>
      <c r="AD31" s="93" t="str">
        <f>IF(OR($D31="1 dd",$D31="2 dd",$D31="3 dd",$D31="4 dd",$D31="6 dd",$D31="8 dd",$D31="12 dd",$D31="an",$D31="1 X"),VLOOKUP($D31,PedTblTijden!$A$16:$X$26,PedTblTijden!X$14,FALSE),"")</f>
        <v/>
      </c>
      <c r="AE31" s="14"/>
      <c r="AF31" s="92"/>
      <c r="AG31" s="14"/>
    </row>
    <row r="32" spans="2:33" s="311" customFormat="1" ht="26.1" customHeight="1" x14ac:dyDescent="0.2">
      <c r="B32" s="94"/>
      <c r="C32" s="125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26" t="str">
        <f>IF(GlobGuiMedDisc!I38&lt;&gt;"",GlobGuiMedDisc!I38,"")</f>
        <v/>
      </c>
      <c r="E32" s="127" t="str">
        <f>IF(AND(D32&lt;&gt;"",D32&lt;&gt;"STOP"),GlobBerMedDisc!H31&amp;" "&amp;GlobBerMedDisc!F31,"")</f>
        <v/>
      </c>
      <c r="F32" s="127" t="str">
        <f>IF(AND(D32&lt;&gt;"",D32&lt;&gt;"STOP"),GlobBerMedDisc!L31," ")</f>
        <v xml:space="preserve"> </v>
      </c>
      <c r="G32" s="127" t="str">
        <f>IF(GlobGuiMedDisc!N33&lt;&gt;"",GlobGuiMedDisc!N33&amp;" "&amp;GlobGuiMedDisc!O33&amp;" "&amp;INDEX(GlobBerMedDisc!$B$27:$B$30,GlobBerMedDisc!O31,1)&amp;" in "&amp;GlobGuiMedDisc!$R$28,"")</f>
        <v/>
      </c>
      <c r="H32" s="93" t="str">
        <f>IF(OR($D32="1 dd",$D32="2 dd",$D32="3 dd",$D32="4 dd",$D32="6 dd",$D32="8 dd",$D32="12 dd",$D32="an",$D32="1 X"),VLOOKUP($D32,PedTblTijden!$A$16:$X$26,PedTblTijden!B$14,FALSE),"")</f>
        <v/>
      </c>
      <c r="I32" s="12" t="str">
        <f>IF(OR($D32="1 dd",$D32="2 dd",$D32="3 dd",$D32="4 dd",$D32="6 dd",$D32="8 dd",$D32="12 dd",$D32="an",$D32="1 X"),VLOOKUP($D32,PedTblTijden!$A$16:$X$26,PedTblTijden!C$14,FALSE),"")</f>
        <v/>
      </c>
      <c r="J32" s="93" t="str">
        <f>IF(OR($D32="1 dd",$D32="2 dd",$D32="3 dd",$D32="4 dd",$D32="6 dd",$D32="8 dd",$D32="12 dd",$D32="an",$D32="1 X"),VLOOKUP($D32,PedTblTijden!$A$16:$X$26,PedTblTijden!D$14,FALSE),"")</f>
        <v/>
      </c>
      <c r="K32" s="12" t="str">
        <f>IF(OR($D32="1 dd",$D32="2 dd",$D32="3 dd",$D32="4 dd",$D32="6 dd",$D32="8 dd",$D32="12 dd",$D32="an",$D32="1 X"),VLOOKUP($D32,PedTblTijden!$A$16:$X$26,PedTblTijden!E$14,FALSE),"")</f>
        <v/>
      </c>
      <c r="L32" s="93" t="str">
        <f>IF(OR($D32="1 dd",$D32="2 dd",$D32="3 dd",$D32="4 dd",$D32="6 dd",$D32="8 dd",$D32="12 dd",$D32="an",$D32="1 X"),VLOOKUP($D32,PedTblTijden!$A$16:$X$26,PedTblTijden!F$14,FALSE),"")</f>
        <v/>
      </c>
      <c r="M32" s="12" t="str">
        <f>IF(OR($D32="1 dd",$D32="2 dd",$D32="3 dd",$D32="4 dd",$D32="6 dd",$D32="8 dd",$D32="12 dd",$D32="an",$D32="1 X"),VLOOKUP($D32,PedTblTijden!$A$16:$X$26,PedTblTijden!G$14,FALSE),"")</f>
        <v/>
      </c>
      <c r="N32" s="93" t="str">
        <f>IF(OR($D32="1 dd",$D32="2 dd",$D32="3 dd",$D32="4 dd",$D32="6 dd",$D32="8 dd",$D32="12 dd",$D32="an",$D32="1 X"),VLOOKUP($D32,PedTblTijden!$A$16:$X$26,PedTblTijden!H$14,FALSE),"")</f>
        <v/>
      </c>
      <c r="O32" s="12" t="str">
        <f>IF(OR($D32="1 dd",$D32="2 dd",$D32="3 dd",$D32="4 dd",$D32="6 dd",$D32="8 dd",$D32="12 dd",$D32="an",$D32="1 X"),VLOOKUP($D32,PedTblTijden!$A$16:$X$26,PedTblTijden!I$14,FALSE),"")</f>
        <v/>
      </c>
      <c r="P32" s="93" t="str">
        <f>IF(OR($D32="1 dd",$D32="2 dd",$D32="3 dd",$D32="4 dd",$D32="6 dd",$D32="8 dd",$D32="12 dd",$D32="an",$D32="1 X"),VLOOKUP($D32,PedTblTijden!$A$16:$X$26,PedTblTijden!J$14,FALSE),"")</f>
        <v/>
      </c>
      <c r="Q32" s="12" t="str">
        <f>IF(OR($D32="1 dd",$D32="2 dd",$D32="3 dd",$D32="4 dd",$D32="6 dd",$D32="8 dd",$D32="12 dd",$D32="an",$D32="1 X"),VLOOKUP($D32,PedTblTijden!$A$16:$X$26,PedTblTijden!K$14,FALSE),"")</f>
        <v/>
      </c>
      <c r="R32" s="93" t="str">
        <f>IF(OR($D32="1 dd",$D32="2 dd",$D32="3 dd",$D32="4 dd",$D32="6 dd",$D32="8 dd",$D32="12 dd",$D32="an",$D32="1 X"),VLOOKUP($D32,PedTblTijden!$A$16:$X$26,PedTblTijden!L$14,FALSE),"")</f>
        <v/>
      </c>
      <c r="S32" s="12" t="str">
        <f>IF(OR($D32="1 dd",$D32="2 dd",$D32="3 dd",$D32="4 dd",$D32="6 dd",$D32="8 dd",$D32="12 dd",$D32="an",$D32="1 X"),VLOOKUP($D32,PedTblTijden!$A$16:$X$26,PedTblTijden!M$14,FALSE),"")</f>
        <v/>
      </c>
      <c r="T32" s="93" t="str">
        <f>IF(OR($D32="1 dd",$D32="2 dd",$D32="3 dd",$D32="4 dd",$D32="6 dd",$D32="8 dd",$D32="12 dd",$D32="an",$D32="1 X"),VLOOKUP($D32,PedTblTijden!$A$16:$X$26,PedTblTijden!N$14,FALSE),"")</f>
        <v/>
      </c>
      <c r="U32" s="12" t="str">
        <f>IF(OR($D32="1 dd",$D32="2 dd",$D32="3 dd",$D32="4 dd",$D32="6 dd",$D32="8 dd",$D32="12 dd",$D32="an",$D32="1 X"),VLOOKUP($D32,PedTblTijden!$A$16:$X$26,PedTblTijden!O$14,FALSE),"")</f>
        <v/>
      </c>
      <c r="V32" s="93" t="str">
        <f>IF(OR($D32="1 dd",$D32="2 dd",$D32="3 dd",$D32="4 dd",$D32="6 dd",$D32="8 dd",$D32="12 dd",$D32="an",$D32="1 X"),VLOOKUP($D32,PedTblTijden!$A$16:$X$26,PedTblTijden!P$14,FALSE),"")</f>
        <v/>
      </c>
      <c r="W32" s="12" t="str">
        <f>IF(OR($D32="1 dd",$D32="2 dd",$D32="3 dd",$D32="4 dd",$D32="6 dd",$D32="8 dd",$D32="12 dd",$D32="an",$D32="1 X"),VLOOKUP($D32,PedTblTijden!$A$16:$X$26,PedTblTijden!Q$14,FALSE),"")</f>
        <v/>
      </c>
      <c r="X32" s="93" t="str">
        <f>IF(OR($D32="1 dd",$D32="2 dd",$D32="3 dd",$D32="4 dd",$D32="6 dd",$D32="8 dd",$D32="12 dd",$D32="an",$D32="1 X"),VLOOKUP($D32,PedTblTijden!$A$16:$X$26,PedTblTijden!R$14,FALSE),"")</f>
        <v/>
      </c>
      <c r="Y32" s="12" t="str">
        <f>IF(OR($D32="1 dd",$D32="2 dd",$D32="3 dd",$D32="4 dd",$D32="6 dd",$D32="8 dd",$D32="12 dd",$D32="an",$D32="1 X"),VLOOKUP($D32,PedTblTijden!$A$16:$X$26,PedTblTijden!S$14,FALSE),"")</f>
        <v/>
      </c>
      <c r="Z32" s="93" t="str">
        <f>IF(OR($D32="1 dd",$D32="2 dd",$D32="3 dd",$D32="4 dd",$D32="6 dd",$D32="8 dd",$D32="12 dd",$D32="an",$D32="1 X"),VLOOKUP($D32,PedTblTijden!$A$16:$X$26,PedTblTijden!T$14,FALSE),"")</f>
        <v/>
      </c>
      <c r="AA32" s="12" t="str">
        <f>IF(OR($D32="1 dd",$D32="2 dd",$D32="3 dd",$D32="4 dd",$D32="6 dd",$D32="8 dd",$D32="12 dd",$D32="an",$D32="1 X"),VLOOKUP($D32,PedTblTijden!$A$16:$X$26,PedTblTijden!U$14,FALSE),"")</f>
        <v/>
      </c>
      <c r="AB32" s="93" t="str">
        <f>IF(OR($D32="1 dd",$D32="2 dd",$D32="3 dd",$D32="4 dd",$D32="6 dd",$D32="8 dd",$D32="12 dd",$D32="an",$D32="1 X"),VLOOKUP($D32,PedTblTijden!$A$16:$X$26,PedTblTijden!V$14,FALSE),"")</f>
        <v/>
      </c>
      <c r="AC32" s="12" t="str">
        <f>IF(OR($D32="1 dd",$D32="2 dd",$D32="3 dd",$D32="4 dd",$D32="6 dd",$D32="8 dd",$D32="12 dd",$D32="an",$D32="1 X"),VLOOKUP($D32,PedTblTijden!$A$16:$X$26,PedTblTijden!W$14,FALSE),"")</f>
        <v/>
      </c>
      <c r="AD32" s="93" t="str">
        <f>IF(OR($D32="1 dd",$D32="2 dd",$D32="3 dd",$D32="4 dd",$D32="6 dd",$D32="8 dd",$D32="12 dd",$D32="an",$D32="1 X"),VLOOKUP($D32,PedTblTijden!$A$16:$X$26,PedTblTijden!X$14,FALSE),"")</f>
        <v/>
      </c>
      <c r="AE32" s="14"/>
      <c r="AF32" s="92"/>
      <c r="AG32" s="14"/>
    </row>
  </sheetData>
  <sheetProtection password="CC20" sheet="1" objects="1" scenario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8" type="noConversion"/>
  <conditionalFormatting sqref="B3:B22">
    <cfRule type="cellIs" dxfId="14" priority="11" stopIfTrue="1" operator="equal">
      <formula>$AB$1</formula>
    </cfRule>
  </conditionalFormatting>
  <conditionalFormatting sqref="B23">
    <cfRule type="cellIs" dxfId="13" priority="10" stopIfTrue="1" operator="equal">
      <formula>$AB$1</formula>
    </cfRule>
  </conditionalFormatting>
  <conditionalFormatting sqref="B24">
    <cfRule type="cellIs" dxfId="12" priority="9" stopIfTrue="1" operator="equal">
      <formula>$AB$1</formula>
    </cfRule>
  </conditionalFormatting>
  <conditionalFormatting sqref="B25">
    <cfRule type="cellIs" dxfId="11" priority="8" stopIfTrue="1" operator="equal">
      <formula>$AB$1</formula>
    </cfRule>
  </conditionalFormatting>
  <conditionalFormatting sqref="B26">
    <cfRule type="cellIs" dxfId="10" priority="7" stopIfTrue="1" operator="equal">
      <formula>$AB$1</formula>
    </cfRule>
  </conditionalFormatting>
  <conditionalFormatting sqref="B27">
    <cfRule type="cellIs" dxfId="9" priority="6" stopIfTrue="1" operator="equal">
      <formula>$AB$1</formula>
    </cfRule>
  </conditionalFormatting>
  <conditionalFormatting sqref="B28">
    <cfRule type="cellIs" dxfId="8" priority="5" stopIfTrue="1" operator="equal">
      <formula>$AB$1</formula>
    </cfRule>
  </conditionalFormatting>
  <conditionalFormatting sqref="B29">
    <cfRule type="cellIs" dxfId="7" priority="4" stopIfTrue="1" operator="equal">
      <formula>$AB$1</formula>
    </cfRule>
  </conditionalFormatting>
  <conditionalFormatting sqref="B30">
    <cfRule type="cellIs" dxfId="6" priority="3" stopIfTrue="1" operator="equal">
      <formula>$AB$1</formula>
    </cfRule>
  </conditionalFormatting>
  <conditionalFormatting sqref="B31">
    <cfRule type="cellIs" dxfId="5" priority="2" stopIfTrue="1" operator="equal">
      <formula>$AB$1</formula>
    </cfRule>
  </conditionalFormatting>
  <conditionalFormatting sqref="B32">
    <cfRule type="cellIs" dxfId="4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52" t="s">
        <v>386</v>
      </c>
    </row>
    <row r="2" spans="1:24" x14ac:dyDescent="0.2">
      <c r="A2" t="s">
        <v>377</v>
      </c>
      <c r="B2">
        <v>20</v>
      </c>
    </row>
    <row r="3" spans="1:24" x14ac:dyDescent="0.2">
      <c r="A3" t="s">
        <v>387</v>
      </c>
      <c r="B3">
        <v>10</v>
      </c>
    </row>
    <row r="4" spans="1:24" x14ac:dyDescent="0.2">
      <c r="A4" t="s">
        <v>388</v>
      </c>
      <c r="B4">
        <v>10</v>
      </c>
      <c r="C4">
        <v>22</v>
      </c>
    </row>
    <row r="5" spans="1:24" x14ac:dyDescent="0.2">
      <c r="A5" t="s">
        <v>389</v>
      </c>
      <c r="B5">
        <v>10</v>
      </c>
      <c r="C5">
        <v>18</v>
      </c>
      <c r="D5">
        <v>2</v>
      </c>
    </row>
    <row r="6" spans="1:24" x14ac:dyDescent="0.2">
      <c r="A6" s="352" t="s">
        <v>390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176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177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178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387</v>
      </c>
      <c r="C12" t="s">
        <v>388</v>
      </c>
      <c r="D12" t="s">
        <v>389</v>
      </c>
      <c r="E12" t="s">
        <v>390</v>
      </c>
      <c r="F12" t="s">
        <v>176</v>
      </c>
      <c r="G12" t="s">
        <v>178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1">
        <v>10</v>
      </c>
      <c r="C15" s="11">
        <v>11</v>
      </c>
      <c r="D15" s="11">
        <v>12</v>
      </c>
      <c r="E15" s="11">
        <v>13</v>
      </c>
      <c r="F15" s="11">
        <v>14</v>
      </c>
      <c r="G15" s="11">
        <v>15</v>
      </c>
      <c r="H15" s="11">
        <v>16</v>
      </c>
      <c r="I15" s="11">
        <v>17</v>
      </c>
      <c r="J15" s="11">
        <v>18</v>
      </c>
      <c r="K15" s="11">
        <v>19</v>
      </c>
      <c r="L15" s="11">
        <v>20</v>
      </c>
      <c r="M15" s="11">
        <v>21</v>
      </c>
      <c r="N15" s="11">
        <v>22</v>
      </c>
      <c r="O15" s="11">
        <v>23</v>
      </c>
      <c r="P15" s="11">
        <v>24</v>
      </c>
      <c r="Q15" s="11">
        <v>1</v>
      </c>
      <c r="R15" s="11">
        <v>2</v>
      </c>
      <c r="S15" s="11">
        <v>3</v>
      </c>
      <c r="T15" s="11">
        <v>4</v>
      </c>
      <c r="U15" s="11">
        <v>5</v>
      </c>
      <c r="V15" s="11">
        <v>6</v>
      </c>
      <c r="W15" s="11">
        <v>7</v>
      </c>
      <c r="X15" s="11">
        <v>8</v>
      </c>
    </row>
    <row r="16" spans="1:24" x14ac:dyDescent="0.2">
      <c r="A16" t="s">
        <v>436</v>
      </c>
      <c r="B16" s="21"/>
      <c r="C16" s="21"/>
      <c r="D16" s="23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2"/>
      <c r="S16" s="22"/>
      <c r="T16" s="22"/>
      <c r="U16" s="22"/>
      <c r="V16" s="22"/>
      <c r="W16" s="22"/>
      <c r="X16" s="22"/>
    </row>
    <row r="17" spans="1:24" s="311" customFormat="1" x14ac:dyDescent="0.2">
      <c r="A17" s="311" t="s">
        <v>367</v>
      </c>
      <c r="B17" s="21"/>
      <c r="C17" s="21"/>
      <c r="D17" s="23"/>
      <c r="E17" s="21"/>
      <c r="F17" s="21"/>
      <c r="G17" s="21"/>
      <c r="H17" s="21"/>
      <c r="I17" s="21"/>
      <c r="J17" s="21"/>
      <c r="K17" s="21"/>
      <c r="L17" s="23" t="s">
        <v>179</v>
      </c>
      <c r="M17" s="21"/>
      <c r="N17" s="21"/>
      <c r="O17" s="21"/>
      <c r="P17" s="21"/>
      <c r="Q17" s="21"/>
      <c r="R17" s="22"/>
      <c r="S17" s="22"/>
      <c r="T17" s="22"/>
      <c r="U17" s="22"/>
      <c r="V17" s="22"/>
      <c r="W17" s="22"/>
      <c r="X17" s="22"/>
    </row>
    <row r="18" spans="1:24" x14ac:dyDescent="0.2">
      <c r="A18" t="s">
        <v>942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M18" s="21"/>
      <c r="N18" s="23"/>
      <c r="O18" s="21"/>
      <c r="P18" s="21"/>
      <c r="Q18" s="21"/>
      <c r="R18" s="22"/>
      <c r="S18" s="22"/>
      <c r="T18" s="22"/>
      <c r="U18" s="22"/>
      <c r="V18" s="22"/>
      <c r="W18" s="22"/>
      <c r="X18" s="22"/>
    </row>
    <row r="19" spans="1:24" x14ac:dyDescent="0.2">
      <c r="A19" t="s">
        <v>387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24" x14ac:dyDescent="0.2">
      <c r="A20" t="s">
        <v>388</v>
      </c>
      <c r="B20" s="12" t="s">
        <v>179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 t="s">
        <v>179</v>
      </c>
      <c r="O20" s="12"/>
      <c r="P20" s="12"/>
      <c r="Q20" s="12"/>
    </row>
    <row r="21" spans="1:24" x14ac:dyDescent="0.2">
      <c r="A21" t="s">
        <v>389</v>
      </c>
      <c r="B21" s="12" t="s">
        <v>179</v>
      </c>
      <c r="C21" s="12"/>
      <c r="D21" s="12"/>
      <c r="E21" s="12"/>
      <c r="F21" s="12"/>
      <c r="G21" s="12"/>
      <c r="H21" s="12"/>
      <c r="I21" s="12"/>
      <c r="J21" s="12" t="s">
        <v>179</v>
      </c>
      <c r="K21" s="12"/>
      <c r="L21" s="12"/>
      <c r="M21" s="12"/>
      <c r="N21" s="12"/>
      <c r="O21" s="12"/>
      <c r="P21" s="12"/>
      <c r="Q21" s="12"/>
      <c r="R21" t="s">
        <v>179</v>
      </c>
    </row>
    <row r="22" spans="1:24" x14ac:dyDescent="0.2">
      <c r="A22" t="s">
        <v>390</v>
      </c>
      <c r="B22" s="12"/>
      <c r="C22" s="12"/>
      <c r="D22" s="12" t="s">
        <v>179</v>
      </c>
      <c r="E22" s="12"/>
      <c r="F22" s="12"/>
      <c r="G22" s="12"/>
      <c r="H22" s="12"/>
      <c r="I22" s="12"/>
      <c r="J22" s="12" t="s">
        <v>179</v>
      </c>
      <c r="K22" s="12"/>
      <c r="L22" s="12"/>
      <c r="M22" s="12"/>
      <c r="N22" s="12"/>
      <c r="O22" s="12"/>
      <c r="P22" s="12" t="s">
        <v>179</v>
      </c>
      <c r="Q22" s="12"/>
      <c r="V22" t="s">
        <v>179</v>
      </c>
    </row>
    <row r="23" spans="1:24" x14ac:dyDescent="0.2">
      <c r="A23" t="s">
        <v>176</v>
      </c>
      <c r="B23" s="12" t="s">
        <v>179</v>
      </c>
      <c r="C23" s="12"/>
      <c r="D23" s="12"/>
      <c r="E23" s="12"/>
      <c r="F23" s="12" t="s">
        <v>179</v>
      </c>
      <c r="G23" s="12"/>
      <c r="H23" s="12"/>
      <c r="I23" s="12"/>
      <c r="J23" s="12" t="s">
        <v>179</v>
      </c>
      <c r="K23" s="12"/>
      <c r="L23" s="12"/>
      <c r="M23" s="12"/>
      <c r="N23" s="12" t="s">
        <v>179</v>
      </c>
      <c r="O23" s="12"/>
      <c r="P23" s="12"/>
      <c r="Q23" s="12"/>
      <c r="R23" t="s">
        <v>179</v>
      </c>
      <c r="V23" t="s">
        <v>179</v>
      </c>
    </row>
    <row r="24" spans="1:24" x14ac:dyDescent="0.2">
      <c r="A24" t="s">
        <v>177</v>
      </c>
      <c r="B24" s="12"/>
      <c r="C24" s="12" t="s">
        <v>179</v>
      </c>
      <c r="D24" s="12"/>
      <c r="E24" s="12"/>
      <c r="F24" s="12" t="s">
        <v>179</v>
      </c>
      <c r="G24" s="12"/>
      <c r="H24" s="12"/>
      <c r="I24" s="12" t="s">
        <v>179</v>
      </c>
      <c r="J24" s="12"/>
      <c r="K24" s="12"/>
      <c r="L24" s="12" t="s">
        <v>179</v>
      </c>
      <c r="M24" s="12"/>
      <c r="N24" s="12"/>
      <c r="O24" s="12" t="s">
        <v>179</v>
      </c>
      <c r="P24" s="12"/>
      <c r="Q24" s="12"/>
      <c r="R24" t="s">
        <v>179</v>
      </c>
      <c r="U24" t="s">
        <v>179</v>
      </c>
      <c r="X24" t="s">
        <v>179</v>
      </c>
    </row>
    <row r="25" spans="1:24" x14ac:dyDescent="0.2">
      <c r="A25" t="s">
        <v>178</v>
      </c>
      <c r="B25" s="12" t="s">
        <v>179</v>
      </c>
      <c r="C25" s="12"/>
      <c r="D25" s="12" t="s">
        <v>179</v>
      </c>
      <c r="E25" s="12"/>
      <c r="F25" s="12" t="s">
        <v>179</v>
      </c>
      <c r="G25" s="12"/>
      <c r="H25" s="12" t="s">
        <v>179</v>
      </c>
      <c r="I25" s="12"/>
      <c r="J25" s="12" t="s">
        <v>179</v>
      </c>
      <c r="K25" s="12"/>
      <c r="L25" s="12" t="s">
        <v>179</v>
      </c>
      <c r="M25" s="12"/>
      <c r="N25" s="12" t="s">
        <v>179</v>
      </c>
      <c r="O25" s="12"/>
      <c r="P25" s="12" t="s">
        <v>179</v>
      </c>
      <c r="Q25" s="12"/>
      <c r="R25" t="s">
        <v>179</v>
      </c>
      <c r="T25" t="s">
        <v>179</v>
      </c>
      <c r="V25" t="s">
        <v>179</v>
      </c>
      <c r="X25" t="s">
        <v>179</v>
      </c>
    </row>
    <row r="26" spans="1:24" x14ac:dyDescent="0.2">
      <c r="A26" t="s">
        <v>26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24" x14ac:dyDescent="0.2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24" x14ac:dyDescent="0.2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24" x14ac:dyDescent="0.2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2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5" t="s">
        <v>245</v>
      </c>
      <c r="F1" s="1" t="s">
        <v>47</v>
      </c>
    </row>
    <row r="3" spans="1:8" x14ac:dyDescent="0.2">
      <c r="A3" s="6" t="s">
        <v>246</v>
      </c>
      <c r="B3" s="36">
        <f ca="1">TODAY()</f>
        <v>42751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56" t="s">
        <v>489</v>
      </c>
      <c r="B6" s="6">
        <f>__1_Bed</f>
        <v>0</v>
      </c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5" thickTop="1" x14ac:dyDescent="0.2">
      <c r="A11" s="921" t="s">
        <v>16</v>
      </c>
      <c r="B11" s="922"/>
      <c r="C11" s="922"/>
      <c r="D11" s="922"/>
      <c r="E11" s="922"/>
      <c r="F11" s="922"/>
      <c r="G11" s="922"/>
      <c r="H11" s="923"/>
    </row>
    <row r="12" spans="1:8" ht="25.5" x14ac:dyDescent="0.2">
      <c r="A12" s="25" t="s">
        <v>301</v>
      </c>
      <c r="B12" s="924" t="s">
        <v>166</v>
      </c>
      <c r="C12" s="926"/>
      <c r="D12" s="928" t="s">
        <v>167</v>
      </c>
      <c r="E12" s="928" t="s">
        <v>168</v>
      </c>
      <c r="F12" s="928" t="s">
        <v>169</v>
      </c>
      <c r="G12" s="26"/>
      <c r="H12" s="26" t="s">
        <v>170</v>
      </c>
    </row>
    <row r="13" spans="1:8" ht="25.5" x14ac:dyDescent="0.2">
      <c r="A13" s="27" t="s">
        <v>171</v>
      </c>
      <c r="B13" s="925"/>
      <c r="C13" s="927"/>
      <c r="D13" s="929"/>
      <c r="E13" s="929"/>
      <c r="F13" s="929"/>
      <c r="G13" s="26" t="s">
        <v>172</v>
      </c>
      <c r="H13" s="28" t="s">
        <v>173</v>
      </c>
    </row>
    <row r="14" spans="1:8" ht="20.100000000000001" customHeight="1" x14ac:dyDescent="0.2">
      <c r="A14" s="910" t="str">
        <f>IF(_Ped_TPN_Keuze&lt;&gt;1,ROUND(G21/24,1)&amp;"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IF(AND(_Ped_TPN_Keuze&lt;&gt;1,G16&lt;&gt;0,_Pat_Gewicht/10&lt;=50),ROUND(PedBerTPN!F7,0),"")</f>
        <v/>
      </c>
      <c r="H14" s="54"/>
    </row>
    <row r="15" spans="1:8" ht="20.100000000000001" customHeight="1" x14ac:dyDescent="0.2">
      <c r="A15" s="911"/>
      <c r="B15" s="63" t="s">
        <v>397</v>
      </c>
      <c r="C15" s="64"/>
      <c r="D15" s="64" t="s">
        <v>43</v>
      </c>
      <c r="E15" s="64" t="s">
        <v>80</v>
      </c>
      <c r="F15" s="65" t="s">
        <v>80</v>
      </c>
      <c r="G15" s="62" t="str">
        <f>IF(AND(_Ped_TPN_Keuze&lt;&gt;1,G16&lt;&gt;0,_Pat_Gewicht/10&lt;=50),ROUND(PedBerTPN!F8,0),"")</f>
        <v/>
      </c>
      <c r="H15" s="54"/>
    </row>
    <row r="16" spans="1:8" ht="20.100000000000001" customHeight="1" x14ac:dyDescent="0.2">
      <c r="A16" s="25"/>
      <c r="B16" s="63" t="s">
        <v>398</v>
      </c>
      <c r="C16" s="64"/>
      <c r="D16" s="64" t="s">
        <v>175</v>
      </c>
      <c r="E16" s="64" t="s">
        <v>44</v>
      </c>
      <c r="F16" s="65" t="s">
        <v>45</v>
      </c>
      <c r="G16" s="66" t="str">
        <f>IF(_Ped_TPN_Keuze&lt;&gt;1,PedBerTPN!F4,"")</f>
        <v/>
      </c>
      <c r="H16" s="54"/>
    </row>
    <row r="17" spans="1:8" ht="20.100000000000001" customHeight="1" x14ac:dyDescent="0.2">
      <c r="A17" s="25"/>
      <c r="B17" s="63" t="s">
        <v>296</v>
      </c>
      <c r="C17" s="64"/>
      <c r="D17" s="64" t="s">
        <v>46</v>
      </c>
      <c r="E17" s="64"/>
      <c r="F17" s="65"/>
      <c r="G17" s="66" t="str">
        <f>IF(AND(_Ped_TPN_SST1Keuze=2,_Ped_TPN_Keuze&lt;&gt;1,_Pat_Gewicht/10&lt;=50),ROUND(PedBerTPN!F6,0),"")</f>
        <v/>
      </c>
      <c r="H17" s="54"/>
    </row>
    <row r="18" spans="1:8" ht="20.100000000000001" customHeight="1" x14ac:dyDescent="0.2">
      <c r="A18" s="25"/>
      <c r="B18" s="63" t="s">
        <v>399</v>
      </c>
      <c r="C18" s="64"/>
      <c r="D18" s="64"/>
      <c r="E18" s="64" t="s">
        <v>48</v>
      </c>
      <c r="F18" s="65"/>
      <c r="G18" s="66" t="str">
        <f>IF(AND(_Ped_TPN_SST1Keuze=3,_Ped_TPN_Keuze&lt;&gt;1,_Pat_Gewicht/10&lt;=50),ROUND(PedBerTPN!F6,0),"")</f>
        <v/>
      </c>
      <c r="H18" s="54"/>
    </row>
    <row r="19" spans="1:8" ht="20.100000000000001" customHeight="1" x14ac:dyDescent="0.2">
      <c r="A19" s="25"/>
      <c r="B19" s="63" t="s">
        <v>83</v>
      </c>
      <c r="C19" s="64"/>
      <c r="D19" s="64"/>
      <c r="E19" s="64"/>
      <c r="F19" s="65" t="s">
        <v>49</v>
      </c>
      <c r="G19" s="66" t="str">
        <f>IF(AND(_Ped_TPN_SST1Keuze=5,_Ped_TPN_Keuze&lt;&gt;1,_Pat_Gewicht/10&lt;=50),ROUND(PedBerTPN!F6,0),"")</f>
        <v/>
      </c>
      <c r="H19" s="54"/>
    </row>
    <row r="20" spans="1:8" ht="20.100000000000001" customHeight="1" x14ac:dyDescent="0.2">
      <c r="A20" s="25"/>
      <c r="B20" s="63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4"/>
      <c r="D20" s="64"/>
      <c r="E20" s="64"/>
      <c r="F20" s="65"/>
      <c r="G20" s="66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4"/>
    </row>
    <row r="21" spans="1:8" ht="15.95" customHeight="1" x14ac:dyDescent="0.2">
      <c r="A21" s="25"/>
      <c r="B21" s="35"/>
      <c r="C21" s="35"/>
      <c r="D21" s="35"/>
      <c r="E21" s="914" t="s">
        <v>212</v>
      </c>
      <c r="F21" s="914"/>
      <c r="G21" s="55">
        <f>SUM(G14:G20)+IF(AND(_Pat_Gewicht/10&gt;=16,_Pat_Gewicht/10&lt;=50),PedBerTPN!F5,0)</f>
        <v>0</v>
      </c>
      <c r="H21" s="54"/>
    </row>
    <row r="22" spans="1:8" ht="15.95" customHeight="1" x14ac:dyDescent="0.2">
      <c r="A22" s="25"/>
      <c r="B22" s="30"/>
      <c r="C22" s="30"/>
      <c r="D22" s="30"/>
      <c r="E22" s="30"/>
      <c r="F22" s="30"/>
      <c r="G22" s="30"/>
      <c r="H22" s="26"/>
    </row>
    <row r="23" spans="1:8" ht="20.100000000000001" customHeight="1" x14ac:dyDescent="0.2">
      <c r="A23" s="908" t="str">
        <f>IF(G26&gt;0,ROUND(G26/24,1)&amp;" ml/u","")</f>
        <v/>
      </c>
      <c r="B23" s="59" t="s">
        <v>192</v>
      </c>
      <c r="C23" s="60"/>
      <c r="D23" s="60" t="s">
        <v>379</v>
      </c>
      <c r="E23" s="60" t="s">
        <v>380</v>
      </c>
      <c r="F23" s="61" t="s">
        <v>175</v>
      </c>
      <c r="G23" s="62">
        <f>ROUND(PedBerTPN!F13,0)</f>
        <v>0</v>
      </c>
      <c r="H23" s="31"/>
    </row>
    <row r="24" spans="1:8" ht="20.100000000000001" customHeight="1" x14ac:dyDescent="0.2">
      <c r="A24" s="909"/>
      <c r="B24" s="63" t="s">
        <v>193</v>
      </c>
      <c r="C24" s="64"/>
      <c r="D24" s="64"/>
      <c r="E24" s="915" t="s">
        <v>284</v>
      </c>
      <c r="F24" s="916"/>
      <c r="G24" s="66">
        <f>ROUND(PedBerTPN!F14,0)</f>
        <v>0</v>
      </c>
      <c r="H24" s="26"/>
    </row>
    <row r="25" spans="1:8" ht="20.100000000000001" customHeight="1" x14ac:dyDescent="0.2">
      <c r="A25" s="25"/>
      <c r="B25" s="63"/>
      <c r="C25" s="64"/>
      <c r="D25" s="64"/>
      <c r="E25" s="915"/>
      <c r="F25" s="916"/>
      <c r="G25" s="66"/>
      <c r="H25" s="26"/>
    </row>
    <row r="26" spans="1:8" ht="15.95" customHeight="1" x14ac:dyDescent="0.2">
      <c r="A26" s="25"/>
      <c r="B26" s="52"/>
      <c r="C26" s="52"/>
      <c r="D26" s="52"/>
      <c r="E26" s="917" t="s">
        <v>212</v>
      </c>
      <c r="F26" s="917"/>
      <c r="G26" s="57">
        <f>SUM(G23:G25)</f>
        <v>0</v>
      </c>
      <c r="H26" s="53"/>
    </row>
    <row r="27" spans="1:8" ht="15.95" customHeight="1" thickBot="1" x14ac:dyDescent="0.25">
      <c r="A27" s="25"/>
      <c r="B27" s="52"/>
      <c r="C27" s="52"/>
      <c r="D27" s="52"/>
      <c r="E27" s="52"/>
      <c r="F27" s="52"/>
      <c r="G27" s="30"/>
      <c r="H27" s="26"/>
    </row>
    <row r="28" spans="1:8" ht="15.95" customHeight="1" thickTop="1" x14ac:dyDescent="0.2">
      <c r="A28" s="32"/>
      <c r="B28" s="912" t="s">
        <v>114</v>
      </c>
      <c r="C28" s="913"/>
      <c r="D28" s="913"/>
      <c r="E28" s="913"/>
      <c r="F28" s="913"/>
      <c r="G28" s="50"/>
      <c r="H28" s="33"/>
    </row>
    <row r="29" spans="1:8" ht="20.100000000000001" customHeight="1" x14ac:dyDescent="0.2">
      <c r="A29" s="908" t="str">
        <f>IF(G36&gt;0,ROUND(G36/24,1)&amp;" ml/u","")</f>
        <v/>
      </c>
      <c r="B29" s="70" t="s">
        <v>34</v>
      </c>
      <c r="C29" s="72"/>
      <c r="D29" s="72"/>
      <c r="E29" s="72"/>
      <c r="F29" s="73"/>
      <c r="G29" s="62">
        <f>IF(AND(OR(_Ped_TPN_Keuze=1,AND(_Ped_TPN_Keuze=2,_Ped_TPN_SST1Keuze&gt;10),_Pat_Gewicht/10&gt;50)),ROUND(PedBerTPN!F7,0),0)</f>
        <v>0</v>
      </c>
      <c r="H29" s="26"/>
    </row>
    <row r="30" spans="1:8" ht="20.100000000000001" customHeight="1" x14ac:dyDescent="0.2">
      <c r="A30" s="909"/>
      <c r="B30" s="71" t="s">
        <v>400</v>
      </c>
      <c r="C30" s="74"/>
      <c r="D30" s="74"/>
      <c r="E30" s="74"/>
      <c r="F30" s="75"/>
      <c r="G30" s="66">
        <f>IF(AND(OR(_Ped_TPN_Keuze=1,AND(_Ped_TPN_Keuze=2,_Ped_TPN_SST1Keuze&gt;10),_Pat_Gewicht/10&gt;50)),ROUND(PedBerTPN!F8,0),0)</f>
        <v>0</v>
      </c>
      <c r="H30" s="26"/>
    </row>
    <row r="31" spans="1:8" ht="20.100000000000001" customHeight="1" x14ac:dyDescent="0.2">
      <c r="A31" s="25"/>
      <c r="B31" s="71" t="s">
        <v>419</v>
      </c>
      <c r="C31" s="74"/>
      <c r="D31" s="74"/>
      <c r="E31" s="74"/>
      <c r="F31" s="75"/>
      <c r="G31" s="66">
        <f>PedBerTPN!F9</f>
        <v>0</v>
      </c>
      <c r="H31" s="26"/>
    </row>
    <row r="32" spans="1:8" ht="20.100000000000001" customHeight="1" x14ac:dyDescent="0.2">
      <c r="A32" s="25"/>
      <c r="B32" s="71" t="s">
        <v>420</v>
      </c>
      <c r="C32" s="74"/>
      <c r="D32" s="74"/>
      <c r="E32" s="74"/>
      <c r="F32" s="75"/>
      <c r="G32" s="66">
        <f>PedBerTPN!F10</f>
        <v>0</v>
      </c>
      <c r="H32" s="26"/>
    </row>
    <row r="33" spans="1:8" ht="20.100000000000001" customHeight="1" x14ac:dyDescent="0.2">
      <c r="A33" s="25"/>
      <c r="B33" s="71" t="s">
        <v>296</v>
      </c>
      <c r="C33" s="74"/>
      <c r="D33" s="74"/>
      <c r="E33" s="74"/>
      <c r="F33" s="75"/>
      <c r="G33" s="66">
        <f>IF(_Pat_Gewicht/10&lt;=50,PedBerTPN!F17,0)+IF(AND(_Ped_TPN_SST1Keuze=2,_Ped_TPN_Keuze=1,_Pat_Gewicht/10&lt;=50),ROUND(PedBerTPN!F6,0),0)</f>
        <v>0</v>
      </c>
      <c r="H33" s="26"/>
    </row>
    <row r="34" spans="1:8" ht="20.100000000000001" customHeight="1" x14ac:dyDescent="0.2">
      <c r="A34" s="25"/>
      <c r="B34" s="71">
        <f>IF(AND(OR(_Ped_TPN_Keuze=1,AND(_Ped_TPN_Keuze=2,_Ped_TPN_SST1Keuze&gt;10)),_Ped_TPN_SST1Keuze&lt;&gt;11,_Ped_TPN_SST1Keuze&lt;&gt;2),INDEX(tblSSTGlucose,_Ped_TPN_SST1Keuze,1),"Glucose       %")</f>
        <v>0</v>
      </c>
      <c r="C34" s="74"/>
      <c r="D34" s="74"/>
      <c r="E34" s="74"/>
      <c r="F34" s="75"/>
      <c r="G34" s="66">
        <f>IF(AND(OR(_Ped_TPN_Keuze=1,AND(_Ped_TPN_Keuze=2,_Ped_TPN_SST1Keuze&gt;10),_Pat_Gewicht/10&gt;50),_Ped_TPN_SST1Keuze&lt;&gt;2,_Ped_TPN_SST1Keuze&lt;&gt;11),ROUND(PedBerTPN!F6,0),"")</f>
        <v>0</v>
      </c>
      <c r="H34" s="26"/>
    </row>
    <row r="35" spans="1:8" ht="20.100000000000001" customHeight="1" x14ac:dyDescent="0.2">
      <c r="A35" s="25"/>
      <c r="B35" s="70" t="s">
        <v>401</v>
      </c>
      <c r="C35" s="72"/>
      <c r="D35" s="72"/>
      <c r="E35" s="72"/>
      <c r="F35" s="73"/>
      <c r="G35" s="66" t="str">
        <f>IF(AND(_Ped_TPN_SST1Keuze=11),ROUND(PedBerTPN!F6,0),"")</f>
        <v/>
      </c>
      <c r="H35" s="26"/>
    </row>
    <row r="36" spans="1:8" ht="15.95" customHeight="1" x14ac:dyDescent="0.2">
      <c r="A36" s="25"/>
      <c r="B36" s="52"/>
      <c r="C36" s="52"/>
      <c r="D36" s="52"/>
      <c r="E36" s="917" t="s">
        <v>214</v>
      </c>
      <c r="F36" s="917"/>
      <c r="G36" s="56">
        <f>SUM(G29:G35)</f>
        <v>0</v>
      </c>
      <c r="H36" s="26"/>
    </row>
    <row r="37" spans="1:8" ht="15.95" customHeight="1" thickBot="1" x14ac:dyDescent="0.25">
      <c r="A37" s="25"/>
      <c r="B37" s="52"/>
      <c r="C37" s="52"/>
      <c r="D37" s="52"/>
      <c r="E37" s="52"/>
      <c r="F37" s="52"/>
      <c r="G37" s="30"/>
      <c r="H37" s="26"/>
    </row>
    <row r="38" spans="1:8" ht="15.95" customHeight="1" thickTop="1" x14ac:dyDescent="0.2">
      <c r="A38" s="32"/>
      <c r="B38" s="918" t="s">
        <v>238</v>
      </c>
      <c r="C38" s="919"/>
      <c r="D38" s="919"/>
      <c r="E38" s="919"/>
      <c r="F38" s="920"/>
      <c r="G38" s="33" t="s">
        <v>239</v>
      </c>
      <c r="H38" s="33"/>
    </row>
    <row r="39" spans="1:8" ht="15.95" customHeight="1" x14ac:dyDescent="0.2">
      <c r="A39" s="34"/>
      <c r="B39" s="905" t="s">
        <v>240</v>
      </c>
      <c r="C39" s="906"/>
      <c r="D39" s="906"/>
      <c r="E39" s="906"/>
      <c r="F39" s="907"/>
      <c r="G39" s="28" t="s">
        <v>241</v>
      </c>
      <c r="H39" s="26"/>
    </row>
    <row r="40" spans="1:8" ht="15.95" customHeight="1" x14ac:dyDescent="0.2">
      <c r="A40" s="34"/>
      <c r="B40" s="905" t="s">
        <v>242</v>
      </c>
      <c r="C40" s="906"/>
      <c r="D40" s="906"/>
      <c r="E40" s="906"/>
      <c r="F40" s="907"/>
      <c r="G40" s="28" t="s">
        <v>239</v>
      </c>
      <c r="H40" s="29"/>
    </row>
    <row r="42" spans="1:8" x14ac:dyDescent="0.2">
      <c r="A42" s="6" t="s">
        <v>243</v>
      </c>
    </row>
    <row r="43" spans="1:8" x14ac:dyDescent="0.2">
      <c r="A43" s="6" t="s">
        <v>213</v>
      </c>
    </row>
    <row r="45" spans="1:8" x14ac:dyDescent="0.2">
      <c r="A45" s="6" t="s">
        <v>244</v>
      </c>
    </row>
    <row r="47" spans="1:8" x14ac:dyDescent="0.2">
      <c r="A47" s="6" t="s">
        <v>79</v>
      </c>
    </row>
    <row r="49" spans="6:6" x14ac:dyDescent="0.2">
      <c r="F49" s="1"/>
    </row>
  </sheetData>
  <sheetProtection password="CC20" sheet="1" objects="1" scenario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8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5" t="s">
        <v>245</v>
      </c>
      <c r="F1" s="1" t="s">
        <v>104</v>
      </c>
    </row>
    <row r="3" spans="1:8" x14ac:dyDescent="0.2">
      <c r="A3" s="6" t="s">
        <v>246</v>
      </c>
      <c r="B3" s="36">
        <f ca="1">TODAY()</f>
        <v>42751</v>
      </c>
      <c r="F3" s="41">
        <f>__0_PatNum</f>
        <v>0</v>
      </c>
      <c r="G3" s="42"/>
      <c r="H3" s="43"/>
    </row>
    <row r="4" spans="1:8" x14ac:dyDescent="0.2"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56" t="s">
        <v>489</v>
      </c>
      <c r="B6" s="6">
        <f>__1_Bed</f>
        <v>0</v>
      </c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tr">
        <f>IF(_Pat_Gewicht/10&lt;7,"Tot. hoev. vocht* (150 ml/kg/24 uur):","Tot. hoev. vocht* (110-90 ml/kg/24 uur):")</f>
        <v>Tot. hoev. vocht* (150 ml/kg/24 uur):</v>
      </c>
      <c r="C10" s="6">
        <f>PedBerTPN!F24</f>
        <v>0</v>
      </c>
      <c r="D10" s="6" t="s">
        <v>315</v>
      </c>
    </row>
    <row r="11" spans="1:8" ht="13.5" thickTop="1" x14ac:dyDescent="0.2">
      <c r="A11" s="921" t="s">
        <v>16</v>
      </c>
      <c r="B11" s="922"/>
      <c r="C11" s="922"/>
      <c r="D11" s="922"/>
      <c r="E11" s="922"/>
      <c r="F11" s="922"/>
      <c r="G11" s="922"/>
      <c r="H11" s="923"/>
    </row>
    <row r="12" spans="1:8" ht="25.5" x14ac:dyDescent="0.2">
      <c r="A12" s="25" t="s">
        <v>301</v>
      </c>
      <c r="B12" s="924" t="s">
        <v>166</v>
      </c>
      <c r="C12" s="926"/>
      <c r="D12" s="928" t="s">
        <v>167</v>
      </c>
      <c r="E12" s="928" t="s">
        <v>168</v>
      </c>
      <c r="F12" s="928" t="s">
        <v>169</v>
      </c>
      <c r="G12" s="26"/>
      <c r="H12" s="26" t="s">
        <v>170</v>
      </c>
    </row>
    <row r="13" spans="1:8" ht="15" customHeight="1" x14ac:dyDescent="0.2">
      <c r="A13" s="27" t="s">
        <v>171</v>
      </c>
      <c r="B13" s="925"/>
      <c r="C13" s="927"/>
      <c r="D13" s="929"/>
      <c r="E13" s="929"/>
      <c r="F13" s="929"/>
      <c r="G13" s="26" t="s">
        <v>172</v>
      </c>
      <c r="H13" s="28" t="s">
        <v>173</v>
      </c>
    </row>
    <row r="14" spans="1:8" ht="20.100000000000001" customHeight="1" x14ac:dyDescent="0.2">
      <c r="A14" s="910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911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403</v>
      </c>
      <c r="C16" s="64"/>
      <c r="D16" s="64" t="s">
        <v>380</v>
      </c>
      <c r="E16" s="64" t="s">
        <v>404</v>
      </c>
      <c r="F16" s="65" t="s">
        <v>44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296</v>
      </c>
      <c r="C17" s="64"/>
      <c r="D17" s="64" t="s">
        <v>405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93</v>
      </c>
      <c r="C18" s="64"/>
      <c r="D18" s="64"/>
      <c r="E18" s="64" t="s">
        <v>406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407</v>
      </c>
      <c r="C19" s="64"/>
      <c r="D19" s="64"/>
      <c r="E19" s="64"/>
      <c r="F19" s="65" t="s">
        <v>408</v>
      </c>
      <c r="G19" s="66" t="str">
        <f>IF(AND(_Ped_TPN_SST1Keuze=8,_Ped_TPN_Keuze&lt;&gt;1,_Pat_Gewicht/10&lt;=10),ROUND(PedBerTPN!F6,0),"")</f>
        <v/>
      </c>
      <c r="H19" s="26"/>
    </row>
    <row r="20" spans="1:8" ht="20.100000000000001" customHeight="1" x14ac:dyDescent="0.2">
      <c r="A20" s="25"/>
      <c r="B20" s="63" t="s">
        <v>409</v>
      </c>
      <c r="C20" s="64"/>
      <c r="D20" s="64"/>
      <c r="E20" s="64"/>
      <c r="F20" s="65" t="s">
        <v>410</v>
      </c>
      <c r="G20" s="66" t="str">
        <f>IF(AND(_Ped_TPN_SST1Keuze=8,_Ped_TPN_Keuze&lt;&gt;1,_Pat_Gewicht/10&gt;10),ROUND(PedBerTPN!F6,0),"")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35"/>
      <c r="C22" s="35"/>
      <c r="D22" s="35"/>
      <c r="E22" s="914" t="s">
        <v>212</v>
      </c>
      <c r="F22" s="914"/>
      <c r="G22" s="55">
        <f>SUM(G14:G21)</f>
        <v>0</v>
      </c>
      <c r="H22" s="53"/>
    </row>
    <row r="23" spans="1:8" ht="10.5" customHeight="1" x14ac:dyDescent="0.2">
      <c r="A23" s="25"/>
      <c r="B23" s="30"/>
      <c r="C23" s="30"/>
      <c r="D23" s="30"/>
      <c r="E23" s="30"/>
      <c r="F23" s="30"/>
      <c r="G23" s="30"/>
      <c r="H23" s="26"/>
    </row>
    <row r="24" spans="1:8" ht="20.100000000000001" customHeight="1" x14ac:dyDescent="0.2">
      <c r="A24" s="908" t="str">
        <f>IF(G27&gt;0,ROUND(G27/24,1)&amp;"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2">
      <c r="A25" s="909"/>
      <c r="B25" s="63" t="s">
        <v>193</v>
      </c>
      <c r="C25" s="64"/>
      <c r="D25" s="64"/>
      <c r="E25" s="932" t="s">
        <v>364</v>
      </c>
      <c r="F25" s="933"/>
      <c r="G25" s="62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932" t="s">
        <v>364</v>
      </c>
      <c r="F26" s="933"/>
      <c r="G26" s="62">
        <f>ROUND(PedBerTPN!F15,0)</f>
        <v>0</v>
      </c>
      <c r="H26" s="26"/>
    </row>
    <row r="27" spans="1:8" ht="15.95" customHeight="1" x14ac:dyDescent="0.2">
      <c r="A27" s="25"/>
      <c r="B27" s="30"/>
      <c r="C27" s="30"/>
      <c r="D27" s="30"/>
      <c r="E27" s="914" t="s">
        <v>212</v>
      </c>
      <c r="F27" s="914"/>
      <c r="G27" s="57">
        <f>SUM(G24:G26)</f>
        <v>0</v>
      </c>
      <c r="H27" s="53"/>
    </row>
    <row r="28" spans="1:8" ht="10.5" customHeight="1" thickBot="1" x14ac:dyDescent="0.25">
      <c r="A28" s="25"/>
      <c r="B28" s="30"/>
      <c r="C28" s="30"/>
      <c r="D28" s="30"/>
      <c r="E28" s="30"/>
      <c r="F28" s="30"/>
      <c r="G28" s="30"/>
      <c r="H28" s="26"/>
    </row>
    <row r="29" spans="1:8" ht="15.95" customHeight="1" thickTop="1" x14ac:dyDescent="0.2">
      <c r="A29" s="32"/>
      <c r="B29" s="930" t="s">
        <v>114</v>
      </c>
      <c r="C29" s="931"/>
      <c r="D29" s="931"/>
      <c r="E29" s="931"/>
      <c r="F29" s="931"/>
      <c r="G29" s="50"/>
      <c r="H29" s="33"/>
    </row>
    <row r="30" spans="1:8" ht="20.100000000000001" customHeight="1" x14ac:dyDescent="0.2">
      <c r="A30" s="908" t="str">
        <f>IF(G33&gt;0,ROUND(G39/24,1)&amp;"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IF(AND(OR(_Ped_TPN_Keuze=1,AND(_Ped_TPN_Keuze=2,_Ped_TPN_SST1Keuze&gt;10))),ROUND(PedBerTPN!F7,0),0)</f>
        <v>0</v>
      </c>
      <c r="H30" s="26"/>
    </row>
    <row r="31" spans="1:8" ht="20.100000000000001" customHeight="1" x14ac:dyDescent="0.2">
      <c r="A31" s="909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IF(AND(OR(_Ped_TPN_Keuze=1,AND(_Ped_TPN_Keuze=2,_Ped_TPN_SST1Keuze&gt;10))),ROUND(PedBerTPN!F8,0),0)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25"/>
      <c r="B35" s="71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6"/>
    </row>
    <row r="36" spans="1:8" ht="20.100000000000001" customHeight="1" x14ac:dyDescent="0.2">
      <c r="A36" s="25"/>
      <c r="B36" s="940" t="s">
        <v>401</v>
      </c>
      <c r="C36" s="941"/>
      <c r="D36" s="941"/>
      <c r="E36" s="941"/>
      <c r="F36" s="78"/>
      <c r="G36" s="79" t="str">
        <f>IF(OR(_Ped_TPN_SST1Keuze=11),ROUND(PedBerTPN!F6,0),"")</f>
        <v/>
      </c>
      <c r="H36" s="26"/>
    </row>
    <row r="37" spans="1:8" ht="20.100000000000001" customHeight="1" x14ac:dyDescent="0.2">
      <c r="A37" s="25"/>
      <c r="B37" s="940" t="s">
        <v>35</v>
      </c>
      <c r="C37" s="941"/>
      <c r="D37" s="941"/>
      <c r="E37" s="941"/>
      <c r="F37" s="78"/>
      <c r="G37" s="79" t="str">
        <f>IF(AND(_Ped_TPN_SST1Keuze=12),ROUND(PedBerTPN!F6,0),"")</f>
        <v/>
      </c>
      <c r="H37" s="26"/>
    </row>
    <row r="38" spans="1:8" ht="20.100000000000001" customHeight="1" x14ac:dyDescent="0.2">
      <c r="A38" s="25"/>
      <c r="B38" s="940" t="s">
        <v>36</v>
      </c>
      <c r="C38" s="941"/>
      <c r="D38" s="941"/>
      <c r="E38" s="941"/>
      <c r="F38" s="76"/>
      <c r="G38" s="79" t="str">
        <f>IF(AND(_Ped_TPN_SST1Keuze=13),ROUND(PedBerTPN!F6,0),"")</f>
        <v/>
      </c>
      <c r="H38" s="26"/>
    </row>
    <row r="39" spans="1:8" ht="15.95" customHeight="1" x14ac:dyDescent="0.2">
      <c r="A39" s="25"/>
      <c r="B39" s="30"/>
      <c r="C39" s="30"/>
      <c r="D39" s="30"/>
      <c r="E39" s="914" t="s">
        <v>214</v>
      </c>
      <c r="F39" s="914"/>
      <c r="G39" s="56">
        <f>SUM(G30:G38)</f>
        <v>0</v>
      </c>
      <c r="H39" s="26"/>
    </row>
    <row r="40" spans="1:8" ht="10.5" customHeight="1" thickBot="1" x14ac:dyDescent="0.25">
      <c r="A40" s="25"/>
      <c r="B40" s="30"/>
      <c r="C40" s="30"/>
      <c r="D40" s="30"/>
      <c r="E40" s="30"/>
      <c r="F40" s="30"/>
      <c r="G40" s="30"/>
      <c r="H40" s="26"/>
    </row>
    <row r="41" spans="1:8" ht="15.95" customHeight="1" thickTop="1" x14ac:dyDescent="0.2">
      <c r="A41" s="32"/>
      <c r="B41" s="934" t="s">
        <v>238</v>
      </c>
      <c r="C41" s="935"/>
      <c r="D41" s="935"/>
      <c r="E41" s="935"/>
      <c r="F41" s="936"/>
      <c r="G41" s="33" t="s">
        <v>239</v>
      </c>
      <c r="H41" s="33"/>
    </row>
    <row r="42" spans="1:8" ht="15.95" customHeight="1" x14ac:dyDescent="0.2">
      <c r="A42" s="34"/>
      <c r="B42" s="937" t="s">
        <v>240</v>
      </c>
      <c r="C42" s="938"/>
      <c r="D42" s="938"/>
      <c r="E42" s="938"/>
      <c r="F42" s="939"/>
      <c r="G42" s="28" t="s">
        <v>241</v>
      </c>
      <c r="H42" s="26"/>
    </row>
    <row r="43" spans="1:8" ht="15.95" customHeight="1" x14ac:dyDescent="0.2">
      <c r="A43" s="34"/>
      <c r="B43" s="937" t="s">
        <v>242</v>
      </c>
      <c r="C43" s="938"/>
      <c r="D43" s="938"/>
      <c r="E43" s="938"/>
      <c r="F43" s="939"/>
      <c r="G43" s="28" t="s">
        <v>239</v>
      </c>
      <c r="H43" s="29"/>
    </row>
    <row r="45" spans="1:8" x14ac:dyDescent="0.2">
      <c r="A45" s="6" t="s">
        <v>243</v>
      </c>
    </row>
    <row r="46" spans="1:8" x14ac:dyDescent="0.2">
      <c r="A46" s="6" t="s">
        <v>213</v>
      </c>
    </row>
    <row r="47" spans="1:8" x14ac:dyDescent="0.2">
      <c r="A47" s="6" t="s">
        <v>244</v>
      </c>
    </row>
    <row r="49" spans="1:6" x14ac:dyDescent="0.2">
      <c r="A49" s="6" t="s">
        <v>79</v>
      </c>
    </row>
    <row r="51" spans="1:6" x14ac:dyDescent="0.2">
      <c r="F51" s="1"/>
    </row>
  </sheetData>
  <sheetProtection password="CC20" sheet="1" objects="1" scenario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8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5" t="s">
        <v>245</v>
      </c>
      <c r="F1" s="1" t="s">
        <v>105</v>
      </c>
    </row>
    <row r="3" spans="1:8" x14ac:dyDescent="0.2">
      <c r="A3" s="6" t="s">
        <v>246</v>
      </c>
      <c r="B3" s="36">
        <f ca="1">TODAY()</f>
        <v>42751</v>
      </c>
      <c r="F3" s="41">
        <f>__0_PatNum</f>
        <v>0</v>
      </c>
      <c r="G3" s="42"/>
      <c r="H3" s="43"/>
    </row>
    <row r="4" spans="1:8" x14ac:dyDescent="0.2">
      <c r="A4" s="135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65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10" spans="1:8" ht="13.5" thickBot="1" x14ac:dyDescent="0.25">
      <c r="A10" s="6" t="s">
        <v>353</v>
      </c>
      <c r="C10" s="6">
        <f>PedBerTPN!F24</f>
        <v>0</v>
      </c>
      <c r="D10" s="6" t="s">
        <v>315</v>
      </c>
    </row>
    <row r="11" spans="1:8" ht="13.5" thickTop="1" x14ac:dyDescent="0.2">
      <c r="A11" s="921" t="s">
        <v>16</v>
      </c>
      <c r="B11" s="922"/>
      <c r="C11" s="922"/>
      <c r="D11" s="922"/>
      <c r="E11" s="922"/>
      <c r="F11" s="922"/>
      <c r="G11" s="922"/>
      <c r="H11" s="923"/>
    </row>
    <row r="12" spans="1:8" ht="25.5" x14ac:dyDescent="0.2">
      <c r="A12" s="25" t="s">
        <v>301</v>
      </c>
      <c r="B12" s="924" t="s">
        <v>166</v>
      </c>
      <c r="C12" s="926"/>
      <c r="D12" s="928" t="s">
        <v>167</v>
      </c>
      <c r="E12" s="928" t="s">
        <v>168</v>
      </c>
      <c r="F12" s="928" t="s">
        <v>169</v>
      </c>
      <c r="G12" s="26"/>
      <c r="H12" s="26" t="s">
        <v>170</v>
      </c>
    </row>
    <row r="13" spans="1:8" ht="25.5" x14ac:dyDescent="0.2">
      <c r="A13" s="27" t="s">
        <v>171</v>
      </c>
      <c r="B13" s="925"/>
      <c r="C13" s="927"/>
      <c r="D13" s="929"/>
      <c r="E13" s="929"/>
      <c r="F13" s="929"/>
      <c r="G13" s="26" t="s">
        <v>172</v>
      </c>
      <c r="H13" s="28" t="s">
        <v>173</v>
      </c>
    </row>
    <row r="14" spans="1:8" ht="20.100000000000001" customHeight="1" x14ac:dyDescent="0.2">
      <c r="A14" s="910" t="str">
        <f>IF(_Ped_TPN_Keuze&lt;&gt;1,ROUND(G22/24,1)&amp;" ml/u","")</f>
        <v/>
      </c>
      <c r="B14" s="59" t="s">
        <v>34</v>
      </c>
      <c r="C14" s="60"/>
      <c r="D14" s="60" t="s">
        <v>174</v>
      </c>
      <c r="E14" s="60" t="s">
        <v>174</v>
      </c>
      <c r="F14" s="61" t="s">
        <v>174</v>
      </c>
      <c r="G14" s="62" t="str">
        <f>IF(AND(_Ped_TPN_Keuze&lt;&gt;1,G16&lt;&gt;0),ROUND(PedBerTPN!F7,0),"")</f>
        <v/>
      </c>
      <c r="H14" s="26"/>
    </row>
    <row r="15" spans="1:8" ht="20.100000000000001" customHeight="1" x14ac:dyDescent="0.2">
      <c r="A15" s="911"/>
      <c r="B15" s="63" t="s">
        <v>397</v>
      </c>
      <c r="C15" s="64"/>
      <c r="D15" s="64" t="s">
        <v>402</v>
      </c>
      <c r="E15" s="64" t="s">
        <v>43</v>
      </c>
      <c r="F15" s="65" t="s">
        <v>43</v>
      </c>
      <c r="G15" s="62" t="str">
        <f>IF(AND(_Ped_TPN_Keuze&lt;&gt;1,G16&lt;&gt;0),ROUND(PedBerTPN!F8,0),"")</f>
        <v/>
      </c>
      <c r="H15" s="26"/>
    </row>
    <row r="16" spans="1:8" ht="20.100000000000001" customHeight="1" x14ac:dyDescent="0.2">
      <c r="A16" s="25"/>
      <c r="B16" s="63" t="s">
        <v>411</v>
      </c>
      <c r="C16" s="64"/>
      <c r="D16" s="64" t="s">
        <v>380</v>
      </c>
      <c r="E16" s="64" t="s">
        <v>175</v>
      </c>
      <c r="F16" s="65" t="s">
        <v>404</v>
      </c>
      <c r="G16" s="66" t="str">
        <f>IF(_Ped_TPN_Keuze&lt;&gt;1,PedBerTPN!F4,"")</f>
        <v/>
      </c>
      <c r="H16" s="26"/>
    </row>
    <row r="17" spans="1:8" ht="20.100000000000001" customHeight="1" x14ac:dyDescent="0.2">
      <c r="A17" s="25"/>
      <c r="B17" s="63" t="s">
        <v>303</v>
      </c>
      <c r="C17" s="64"/>
      <c r="D17" s="64"/>
      <c r="E17" s="932" t="s">
        <v>130</v>
      </c>
      <c r="F17" s="933"/>
      <c r="G17" s="66">
        <f>ROUND(PedBerTPN!F5,0)</f>
        <v>0</v>
      </c>
      <c r="H17" s="26"/>
    </row>
    <row r="18" spans="1:8" ht="20.100000000000001" customHeight="1" x14ac:dyDescent="0.2">
      <c r="A18" s="25"/>
      <c r="B18" s="63" t="s">
        <v>296</v>
      </c>
      <c r="C18" s="64"/>
      <c r="D18" s="64" t="s">
        <v>131</v>
      </c>
      <c r="E18" s="64"/>
      <c r="F18" s="65"/>
      <c r="G18" s="66" t="str">
        <f>IF(AND(_Ped_TPN_SST1Keuze=2,_Ped_TPN_Keuze&lt;&gt;1),ROUND(PedBerTPN!F6,0),"")</f>
        <v/>
      </c>
      <c r="H18" s="26"/>
    </row>
    <row r="19" spans="1:8" ht="20.100000000000001" customHeight="1" x14ac:dyDescent="0.2">
      <c r="A19" s="25"/>
      <c r="B19" s="63" t="s">
        <v>93</v>
      </c>
      <c r="C19" s="64"/>
      <c r="D19" s="64"/>
      <c r="E19" s="64" t="s">
        <v>132</v>
      </c>
      <c r="F19" s="65"/>
      <c r="G19" s="66" t="str">
        <f>IF(AND(_Ped_TPN_SST1Keuze=6,_Ped_TPN_Keuze&lt;&gt;1),ROUND(PedBerTPN!F6,0),"")</f>
        <v/>
      </c>
      <c r="H19" s="26"/>
    </row>
    <row r="20" spans="1:8" ht="20.100000000000001" customHeight="1" x14ac:dyDescent="0.2">
      <c r="A20" s="25"/>
      <c r="B20" s="63" t="s">
        <v>210</v>
      </c>
      <c r="C20" s="64"/>
      <c r="D20" s="64"/>
      <c r="E20" s="64"/>
      <c r="F20" s="65" t="s">
        <v>133</v>
      </c>
      <c r="G20" s="66" t="str">
        <f>IF(AND(_Ped_TPN_SST1Keuze=8,_Ped_TPN_Keuze&lt;&gt;1),ROUND(PedBerTPN!F6,0),"")</f>
        <v/>
      </c>
      <c r="H20" s="26"/>
    </row>
    <row r="21" spans="1:8" ht="20.100000000000001" customHeight="1" x14ac:dyDescent="0.2">
      <c r="A21" s="25"/>
      <c r="B21" s="63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4"/>
      <c r="D21" s="64"/>
      <c r="E21" s="64"/>
      <c r="F21" s="65"/>
      <c r="G21" s="66" t="str">
        <f>IF(AND(_Ped_TPN_Keuze&lt;&gt;1,B20&lt;&gt;""),IF(AND(_Ped_TPN_SST1Keuze&lt;&gt;2,_Ped_TPN_SST1Keuze&lt;&gt;6,_Ped_TPN_SST1Keuze&lt;&gt;8,_Ped_TPN_SST1Keuze&lt;11),ROUND(PedBerTPN!F6,0),""),"")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917" t="s">
        <v>212</v>
      </c>
      <c r="F22" s="917"/>
      <c r="G22" s="55">
        <f>SUM(G14:G21)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910" t="str">
        <f>IF(_Ped_TPN_Keuze&lt;&gt;1,ROUND(G27/24,1)&amp;" ml/u","")</f>
        <v/>
      </c>
      <c r="B24" s="59" t="s">
        <v>192</v>
      </c>
      <c r="C24" s="60"/>
      <c r="D24" s="60" t="s">
        <v>379</v>
      </c>
      <c r="E24" s="60" t="s">
        <v>380</v>
      </c>
      <c r="F24" s="61" t="s">
        <v>175</v>
      </c>
      <c r="G24" s="62">
        <f>ROUND(PedBerTPN!F13,0)</f>
        <v>0</v>
      </c>
      <c r="H24" s="31"/>
    </row>
    <row r="25" spans="1:8" ht="20.100000000000001" customHeight="1" x14ac:dyDescent="0.2">
      <c r="A25" s="911"/>
      <c r="B25" s="63" t="s">
        <v>193</v>
      </c>
      <c r="C25" s="64"/>
      <c r="D25" s="64"/>
      <c r="E25" s="932" t="s">
        <v>364</v>
      </c>
      <c r="F25" s="933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932" t="s">
        <v>364</v>
      </c>
      <c r="F26" s="933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917" t="s">
        <v>212</v>
      </c>
      <c r="F27" s="917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912" t="s">
        <v>114</v>
      </c>
      <c r="C29" s="913"/>
      <c r="D29" s="913"/>
      <c r="E29" s="913"/>
      <c r="F29" s="913"/>
      <c r="G29" s="50"/>
      <c r="H29" s="33"/>
    </row>
    <row r="30" spans="1:8" ht="20.100000000000001" customHeight="1" x14ac:dyDescent="0.2">
      <c r="A30" s="910" t="str">
        <f>ROUND(G38/24,1)&amp;" ml/u"</f>
        <v>0 ml/u</v>
      </c>
      <c r="B30" s="70" t="s">
        <v>34</v>
      </c>
      <c r="C30" s="72"/>
      <c r="D30" s="72"/>
      <c r="E30" s="72"/>
      <c r="F30" s="73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911"/>
      <c r="B31" s="71" t="s">
        <v>400</v>
      </c>
      <c r="C31" s="74"/>
      <c r="D31" s="74"/>
      <c r="E31" s="74"/>
      <c r="F31" s="75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5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5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5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5"/>
      <c r="G35" s="79">
        <f>IF(AND(OR(_Ped_TPN_Keuze=1,AND(_Ped_TPN_Keuze=2,_Ped_TPN_SST1Keuze&gt;10)),_Ped_TPN_SST1Keuze&lt;&gt;2,_Ped_TPN_SST1Keuze&lt;&gt;12,_Ped_TPN_SST1Keuze&lt;&gt;13),ROUND(PedBerTPN!F6,0),"")</f>
        <v>0</v>
      </c>
      <c r="H35" s="26"/>
    </row>
    <row r="36" spans="1:8" ht="20.100000000000001" customHeight="1" x14ac:dyDescent="0.2">
      <c r="A36" s="51"/>
      <c r="B36" s="940" t="s">
        <v>35</v>
      </c>
      <c r="C36" s="941"/>
      <c r="D36" s="941"/>
      <c r="E36" s="941"/>
      <c r="F36" s="75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940" t="s">
        <v>36</v>
      </c>
      <c r="C37" s="941"/>
      <c r="D37" s="941"/>
      <c r="E37" s="941"/>
      <c r="F37" s="75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52"/>
      <c r="C38" s="52"/>
      <c r="D38" s="52"/>
      <c r="E38" s="917" t="s">
        <v>214</v>
      </c>
      <c r="F38" s="917"/>
      <c r="G38" s="56">
        <f>SUM(G30:G37)</f>
        <v>0</v>
      </c>
      <c r="H38" s="26"/>
    </row>
    <row r="39" spans="1:8" ht="15.95" customHeight="1" thickBot="1" x14ac:dyDescent="0.25">
      <c r="A39" s="25"/>
      <c r="B39" s="52"/>
      <c r="C39" s="52"/>
      <c r="D39" s="52"/>
      <c r="E39" s="52"/>
      <c r="F39" s="52"/>
      <c r="G39" s="30"/>
      <c r="H39" s="26"/>
    </row>
    <row r="40" spans="1:8" ht="15.95" customHeight="1" thickTop="1" x14ac:dyDescent="0.2">
      <c r="A40" s="32"/>
      <c r="B40" s="918" t="s">
        <v>238</v>
      </c>
      <c r="C40" s="919"/>
      <c r="D40" s="919"/>
      <c r="E40" s="919"/>
      <c r="F40" s="920"/>
      <c r="G40" s="33" t="s">
        <v>239</v>
      </c>
      <c r="H40" s="33"/>
    </row>
    <row r="41" spans="1:8" ht="15.95" customHeight="1" x14ac:dyDescent="0.2">
      <c r="A41" s="34"/>
      <c r="B41" s="905" t="s">
        <v>240</v>
      </c>
      <c r="C41" s="906"/>
      <c r="D41" s="906"/>
      <c r="E41" s="906"/>
      <c r="F41" s="907"/>
      <c r="G41" s="28" t="s">
        <v>241</v>
      </c>
      <c r="H41" s="26"/>
    </row>
    <row r="42" spans="1:8" ht="15.95" customHeight="1" x14ac:dyDescent="0.2">
      <c r="A42" s="34"/>
      <c r="B42" s="905" t="s">
        <v>242</v>
      </c>
      <c r="C42" s="906"/>
      <c r="D42" s="906"/>
      <c r="E42" s="906"/>
      <c r="F42" s="907"/>
      <c r="G42" s="28" t="s">
        <v>239</v>
      </c>
      <c r="H42" s="29"/>
    </row>
    <row r="44" spans="1:8" x14ac:dyDescent="0.2">
      <c r="A44" s="6" t="s">
        <v>243</v>
      </c>
    </row>
    <row r="45" spans="1:8" x14ac:dyDescent="0.2">
      <c r="A45" s="6" t="s">
        <v>213</v>
      </c>
    </row>
    <row r="46" spans="1:8" x14ac:dyDescent="0.2">
      <c r="A46" s="6" t="s">
        <v>244</v>
      </c>
    </row>
    <row r="48" spans="1:8" x14ac:dyDescent="0.2">
      <c r="A48" s="6" t="s">
        <v>79</v>
      </c>
    </row>
    <row r="50" spans="6:6" x14ac:dyDescent="0.2">
      <c r="F50" s="1"/>
    </row>
  </sheetData>
  <sheetProtection password="CC20" sheet="1" objects="1" scenario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8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5" t="s">
        <v>245</v>
      </c>
      <c r="F1" s="1" t="s">
        <v>106</v>
      </c>
    </row>
    <row r="3" spans="1:8" x14ac:dyDescent="0.2">
      <c r="A3" s="6" t="s">
        <v>246</v>
      </c>
      <c r="B3" s="36">
        <f ca="1">TODAY()</f>
        <v>42751</v>
      </c>
      <c r="F3" s="41">
        <f>__0_PatNum</f>
        <v>0</v>
      </c>
      <c r="G3" s="42"/>
      <c r="H3" s="43"/>
    </row>
    <row r="4" spans="1:8" x14ac:dyDescent="0.2">
      <c r="A4" s="135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65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9" spans="1:8" ht="13.5" thickBot="1" x14ac:dyDescent="0.25">
      <c r="A9" s="6" t="s">
        <v>352</v>
      </c>
      <c r="C9" s="6">
        <f>PedBerTPN!F24</f>
        <v>0</v>
      </c>
      <c r="D9" s="6" t="s">
        <v>315</v>
      </c>
    </row>
    <row r="10" spans="1:8" ht="13.5" thickTop="1" x14ac:dyDescent="0.2">
      <c r="A10" s="921" t="s">
        <v>16</v>
      </c>
      <c r="B10" s="922"/>
      <c r="C10" s="922"/>
      <c r="D10" s="922"/>
      <c r="E10" s="922"/>
      <c r="F10" s="922"/>
      <c r="G10" s="922"/>
      <c r="H10" s="923"/>
    </row>
    <row r="11" spans="1:8" ht="25.5" x14ac:dyDescent="0.2">
      <c r="A11" s="25" t="s">
        <v>301</v>
      </c>
      <c r="B11" s="924" t="s">
        <v>166</v>
      </c>
      <c r="C11" s="926"/>
      <c r="D11" s="928" t="s">
        <v>167</v>
      </c>
      <c r="E11" s="928" t="s">
        <v>168</v>
      </c>
      <c r="F11" s="928" t="s">
        <v>169</v>
      </c>
      <c r="G11" s="26"/>
      <c r="H11" s="26" t="s">
        <v>170</v>
      </c>
    </row>
    <row r="12" spans="1:8" ht="25.5" x14ac:dyDescent="0.2">
      <c r="A12" s="27" t="s">
        <v>171</v>
      </c>
      <c r="B12" s="925"/>
      <c r="C12" s="927"/>
      <c r="D12" s="929"/>
      <c r="E12" s="929"/>
      <c r="F12" s="929"/>
      <c r="G12" s="26" t="s">
        <v>172</v>
      </c>
      <c r="H12" s="28" t="s">
        <v>173</v>
      </c>
    </row>
    <row r="13" spans="1:8" ht="20.100000000000001" customHeight="1" x14ac:dyDescent="0.2">
      <c r="A13" s="910" t="str">
        <f>IF(G22&lt;&gt;0,ROUND(G22/24,1)&amp;" ml/u","")</f>
        <v/>
      </c>
      <c r="B13" s="59" t="s">
        <v>34</v>
      </c>
      <c r="C13" s="60"/>
      <c r="D13" s="60" t="s">
        <v>174</v>
      </c>
      <c r="E13" s="60" t="s">
        <v>174</v>
      </c>
      <c r="F13" s="61" t="s">
        <v>174</v>
      </c>
      <c r="G13" s="62" t="str">
        <f>IF(AND(_Ped_TPN_Keuze&lt;&gt;1,G15&lt;&gt;0),ROUND(PedBerTPN!F7,0),"")</f>
        <v/>
      </c>
      <c r="H13" s="26"/>
    </row>
    <row r="14" spans="1:8" ht="20.100000000000001" customHeight="1" x14ac:dyDescent="0.2">
      <c r="A14" s="911"/>
      <c r="B14" s="63" t="s">
        <v>397</v>
      </c>
      <c r="C14" s="64"/>
      <c r="D14" s="64" t="s">
        <v>402</v>
      </c>
      <c r="E14" s="64" t="s">
        <v>43</v>
      </c>
      <c r="F14" s="65" t="s">
        <v>43</v>
      </c>
      <c r="G14" s="62" t="str">
        <f>IF(AND(_Ped_TPN_Keuze&lt;&gt;1,G15&lt;&gt;0),ROUND(PedBerTPN!F8,0),"")</f>
        <v/>
      </c>
      <c r="H14" s="26"/>
    </row>
    <row r="15" spans="1:8" ht="20.100000000000001" customHeight="1" x14ac:dyDescent="0.2">
      <c r="A15" s="25"/>
      <c r="B15" s="63" t="s">
        <v>134</v>
      </c>
      <c r="C15" s="64"/>
      <c r="D15" s="64" t="s">
        <v>379</v>
      </c>
      <c r="E15" s="64" t="s">
        <v>135</v>
      </c>
      <c r="F15" s="65" t="s">
        <v>140</v>
      </c>
      <c r="G15" s="66" t="str">
        <f>IF(_Ped_TPN_Keuze&lt;&gt;1,PedBerTPN!F4,"")</f>
        <v/>
      </c>
      <c r="H15" s="26"/>
    </row>
    <row r="16" spans="1:8" ht="20.100000000000001" customHeight="1" x14ac:dyDescent="0.2">
      <c r="A16" s="25"/>
      <c r="B16" s="63" t="s">
        <v>303</v>
      </c>
      <c r="C16" s="64"/>
      <c r="D16" s="64"/>
      <c r="E16" s="932" t="s">
        <v>130</v>
      </c>
      <c r="F16" s="933"/>
      <c r="G16" s="66" t="str">
        <f>IF(AND(_Ped_TPN_SST1Keuze&lt;11,_Ped_TPN_Keuze&lt;&gt;1),ROUND(PedBerTPN!F5,0),"")</f>
        <v/>
      </c>
      <c r="H16" s="26"/>
    </row>
    <row r="17" spans="1:8" ht="20.100000000000001" customHeight="1" x14ac:dyDescent="0.2">
      <c r="A17" s="25"/>
      <c r="B17" s="63" t="s">
        <v>296</v>
      </c>
      <c r="C17" s="64"/>
      <c r="D17" s="64" t="s">
        <v>136</v>
      </c>
      <c r="E17" s="64"/>
      <c r="F17" s="65"/>
      <c r="G17" s="66" t="str">
        <f>IF(AND(_Ped_TPN_SST1Keuze=2,_Ped_TPN_Keuze&lt;&gt;1),ROUND(PedBerTPN!F6,0),"")</f>
        <v/>
      </c>
      <c r="H17" s="26"/>
    </row>
    <row r="18" spans="1:8" ht="20.100000000000001" customHeight="1" x14ac:dyDescent="0.2">
      <c r="A18" s="25"/>
      <c r="B18" s="63" t="s">
        <v>93</v>
      </c>
      <c r="C18" s="64"/>
      <c r="D18" s="64"/>
      <c r="E18" s="64" t="s">
        <v>137</v>
      </c>
      <c r="F18" s="65"/>
      <c r="G18" s="66" t="str">
        <f>IF(AND(_Ped_TPN_SST1Keuze=6,_Ped_TPN_Keuze&lt;&gt;1),ROUND(PedBerTPN!F6,0),"")</f>
        <v/>
      </c>
      <c r="H18" s="26"/>
    </row>
    <row r="19" spans="1:8" ht="20.100000000000001" customHeight="1" x14ac:dyDescent="0.2">
      <c r="A19" s="25"/>
      <c r="B19" s="63" t="s">
        <v>138</v>
      </c>
      <c r="C19" s="64" t="s">
        <v>230</v>
      </c>
      <c r="D19" s="64"/>
      <c r="E19" s="64"/>
      <c r="F19" s="65" t="s">
        <v>410</v>
      </c>
      <c r="G19" s="66" t="str">
        <f>IF(AND(_Ped_TPN_SST1Keuze=7,_Ped_TPN_Keuze&lt;&gt;1),ROUND(PedBerTPN!F6,0),"")</f>
        <v/>
      </c>
      <c r="H19" s="26"/>
    </row>
    <row r="20" spans="1:8" ht="20.100000000000001" customHeight="1" x14ac:dyDescent="0.2">
      <c r="A20" s="25"/>
      <c r="B20" s="63" t="s">
        <v>139</v>
      </c>
      <c r="C20" s="64"/>
      <c r="D20" s="64"/>
      <c r="E20" s="64"/>
      <c r="F20" s="65" t="s">
        <v>404</v>
      </c>
      <c r="G20" s="66" t="str">
        <f>IF(AND(_Ped_TPN_SST1Keuze=9,_Ped_TPN_Keuze&lt;&gt;1),ROUND(PedBerTPN!F6,0),"")</f>
        <v/>
      </c>
      <c r="H20" s="26"/>
    </row>
    <row r="21" spans="1:8" ht="20.100000000000001" customHeight="1" x14ac:dyDescent="0.2">
      <c r="A21" s="25"/>
      <c r="B21" s="67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68"/>
      <c r="D21" s="68"/>
      <c r="E21" s="68"/>
      <c r="F21" s="69"/>
      <c r="G21" s="66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6"/>
    </row>
    <row r="22" spans="1:8" ht="15.95" customHeight="1" x14ac:dyDescent="0.2">
      <c r="A22" s="25"/>
      <c r="B22" s="58"/>
      <c r="C22" s="58"/>
      <c r="D22" s="58"/>
      <c r="E22" s="917" t="s">
        <v>212</v>
      </c>
      <c r="F22" s="917"/>
      <c r="G22" s="55">
        <f>SUM(G13:G21)</f>
        <v>0</v>
      </c>
      <c r="H22" s="53"/>
    </row>
    <row r="23" spans="1:8" ht="10.5" customHeight="1" x14ac:dyDescent="0.2">
      <c r="A23" s="25"/>
      <c r="B23" s="52"/>
      <c r="C23" s="52"/>
      <c r="D23" s="52"/>
      <c r="E23" s="52"/>
      <c r="F23" s="52"/>
      <c r="G23" s="30"/>
      <c r="H23" s="26"/>
    </row>
    <row r="24" spans="1:8" ht="20.100000000000001" customHeight="1" x14ac:dyDescent="0.2">
      <c r="A24" s="910" t="str">
        <f>IF(G27&lt;&gt;0,ROUND(G27/24,1)&amp;" ml/u","")</f>
        <v/>
      </c>
      <c r="B24" s="59" t="s">
        <v>192</v>
      </c>
      <c r="C24" s="60"/>
      <c r="D24" s="60" t="s">
        <v>351</v>
      </c>
      <c r="E24" s="60" t="s">
        <v>174</v>
      </c>
      <c r="F24" s="61" t="s">
        <v>380</v>
      </c>
      <c r="G24" s="62">
        <f>ROUND(PedBerTPN!F13,0)</f>
        <v>0</v>
      </c>
      <c r="H24" s="31"/>
    </row>
    <row r="25" spans="1:8" ht="20.100000000000001" customHeight="1" x14ac:dyDescent="0.2">
      <c r="A25" s="911"/>
      <c r="B25" s="63" t="s">
        <v>193</v>
      </c>
      <c r="C25" s="64"/>
      <c r="D25" s="64"/>
      <c r="E25" s="932" t="s">
        <v>364</v>
      </c>
      <c r="F25" s="933"/>
      <c r="G25" s="66">
        <f>ROUND(PedBerTPN!F14,0)</f>
        <v>0</v>
      </c>
      <c r="H25" s="26"/>
    </row>
    <row r="26" spans="1:8" ht="20.100000000000001" customHeight="1" x14ac:dyDescent="0.2">
      <c r="A26" s="25"/>
      <c r="B26" s="63" t="s">
        <v>209</v>
      </c>
      <c r="C26" s="64"/>
      <c r="D26" s="64"/>
      <c r="E26" s="932" t="s">
        <v>364</v>
      </c>
      <c r="F26" s="933"/>
      <c r="G26" s="66">
        <f>ROUND(PedBerTPN!F15,0)</f>
        <v>0</v>
      </c>
      <c r="H26" s="26"/>
    </row>
    <row r="27" spans="1:8" ht="15.95" customHeight="1" x14ac:dyDescent="0.2">
      <c r="A27" s="25"/>
      <c r="B27" s="52"/>
      <c r="C27" s="52"/>
      <c r="D27" s="52"/>
      <c r="E27" s="917" t="s">
        <v>212</v>
      </c>
      <c r="F27" s="917"/>
      <c r="G27" s="57">
        <f>SUM(G24:G26)</f>
        <v>0</v>
      </c>
      <c r="H27" s="53"/>
    </row>
    <row r="28" spans="1:8" ht="10.5" customHeight="1" thickBot="1" x14ac:dyDescent="0.25">
      <c r="A28" s="25"/>
      <c r="B28" s="52"/>
      <c r="C28" s="52"/>
      <c r="D28" s="52"/>
      <c r="E28" s="52"/>
      <c r="F28" s="52"/>
      <c r="G28" s="30"/>
      <c r="H28" s="26"/>
    </row>
    <row r="29" spans="1:8" ht="15.95" customHeight="1" thickTop="1" x14ac:dyDescent="0.2">
      <c r="A29" s="32"/>
      <c r="B29" s="930" t="s">
        <v>114</v>
      </c>
      <c r="C29" s="931"/>
      <c r="D29" s="931"/>
      <c r="E29" s="931"/>
      <c r="F29" s="931"/>
      <c r="G29" s="50"/>
      <c r="H29" s="33"/>
    </row>
    <row r="30" spans="1:8" ht="20.100000000000001" customHeight="1" x14ac:dyDescent="0.2">
      <c r="A30" s="910" t="str">
        <f>IF(G38&lt;&gt;0,ROUND(G38/24,1)&amp;" ml/u","")</f>
        <v/>
      </c>
      <c r="B30" s="70" t="s">
        <v>34</v>
      </c>
      <c r="C30" s="72"/>
      <c r="D30" s="72"/>
      <c r="E30" s="72"/>
      <c r="F30" s="76"/>
      <c r="G30" s="77">
        <f>IF(AND(OR(_Ped_TPN_Keuze=1,AND(_Ped_TPN_Keuze=2,_Ped_TPN_SST1Keuze&gt;10))),ROUND(PedBerTPN!F7,0),"")</f>
        <v>0</v>
      </c>
      <c r="H30" s="26"/>
    </row>
    <row r="31" spans="1:8" ht="20.100000000000001" customHeight="1" x14ac:dyDescent="0.2">
      <c r="A31" s="911"/>
      <c r="B31" s="71" t="s">
        <v>400</v>
      </c>
      <c r="C31" s="74"/>
      <c r="D31" s="74"/>
      <c r="E31" s="74"/>
      <c r="F31" s="78"/>
      <c r="G31" s="79">
        <f>IF(AND(OR(_Ped_TPN_Keuze=1,AND(_Ped_TPN_Keuze=2,_Ped_TPN_SST1Keuze&gt;10))),ROUND(PedBerTPN!F8,0),"")</f>
        <v>0</v>
      </c>
      <c r="H31" s="26"/>
    </row>
    <row r="32" spans="1:8" ht="20.100000000000001" customHeight="1" x14ac:dyDescent="0.2">
      <c r="A32" s="51"/>
      <c r="B32" s="71" t="s">
        <v>419</v>
      </c>
      <c r="C32" s="74"/>
      <c r="D32" s="74"/>
      <c r="E32" s="74"/>
      <c r="F32" s="78"/>
      <c r="G32" s="79">
        <f>PedBerTPN!F9</f>
        <v>0</v>
      </c>
      <c r="H32" s="26"/>
    </row>
    <row r="33" spans="1:8" ht="20.100000000000001" customHeight="1" x14ac:dyDescent="0.2">
      <c r="A33" s="51"/>
      <c r="B33" s="71" t="s">
        <v>420</v>
      </c>
      <c r="C33" s="74"/>
      <c r="D33" s="74"/>
      <c r="E33" s="74"/>
      <c r="F33" s="78"/>
      <c r="G33" s="79">
        <f>PedBerTPN!F10</f>
        <v>0</v>
      </c>
      <c r="H33" s="26"/>
    </row>
    <row r="34" spans="1:8" ht="20.100000000000001" customHeight="1" x14ac:dyDescent="0.2">
      <c r="A34" s="51"/>
      <c r="B34" s="71" t="s">
        <v>296</v>
      </c>
      <c r="C34" s="74"/>
      <c r="D34" s="74"/>
      <c r="E34" s="74"/>
      <c r="F34" s="78"/>
      <c r="G34" s="79">
        <f>PedBerTPN!F17+IF(AND(_Ped_TPN_SST1Keuze=2,_Ped_TPN_Keuze=1),ROUND(PedBerTPN!F6,0),0)</f>
        <v>0</v>
      </c>
      <c r="H34" s="26"/>
    </row>
    <row r="35" spans="1:8" ht="20.100000000000001" customHeight="1" x14ac:dyDescent="0.2">
      <c r="A35" s="51"/>
      <c r="B35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5" s="74"/>
      <c r="D35" s="74"/>
      <c r="E35" s="74"/>
      <c r="F35" s="78"/>
      <c r="G35" s="79">
        <f>IF(AND(OR(_Ped_TPN_Keuze=1,AND(_Ped_TPN_Keuze=2,_Ped_TPN_SST1Keuze&gt;10)),_Ped_TPN_SST1Keuze&lt;&gt;2,_Ped_TPN_SST1Keuze&lt;&gt;12,_Ped_TPN_SST1Keuze&lt;&gt;13),PedBerTPN!F6,"")</f>
        <v>0</v>
      </c>
      <c r="H35" s="26"/>
    </row>
    <row r="36" spans="1:8" ht="20.100000000000001" customHeight="1" x14ac:dyDescent="0.2">
      <c r="A36" s="51"/>
      <c r="B36" s="940" t="s">
        <v>35</v>
      </c>
      <c r="C36" s="941"/>
      <c r="D36" s="941"/>
      <c r="E36" s="941"/>
      <c r="F36" s="78"/>
      <c r="G36" s="79" t="str">
        <f>IF(AND(_Ped_TPN_SST1Keuze=12),ROUND(PedBerTPN!F6,0),"")</f>
        <v/>
      </c>
      <c r="H36" s="26"/>
    </row>
    <row r="37" spans="1:8" ht="20.100000000000001" customHeight="1" x14ac:dyDescent="0.2">
      <c r="A37" s="25"/>
      <c r="B37" s="940" t="s">
        <v>36</v>
      </c>
      <c r="C37" s="941"/>
      <c r="D37" s="941"/>
      <c r="E37" s="941"/>
      <c r="F37" s="78"/>
      <c r="G37" s="79" t="str">
        <f>IF(AND(_Ped_TPN_SST1Keuze=13),ROUND(PedBerTPN!F6,0),"")</f>
        <v/>
      </c>
      <c r="H37" s="26"/>
    </row>
    <row r="38" spans="1:8" ht="15.95" customHeight="1" x14ac:dyDescent="0.2">
      <c r="A38" s="25"/>
      <c r="B38" s="30"/>
      <c r="C38" s="30"/>
      <c r="D38" s="30"/>
      <c r="E38" s="914" t="s">
        <v>214</v>
      </c>
      <c r="F38" s="914"/>
      <c r="G38" s="56">
        <f>SUM(G30:G37)</f>
        <v>0</v>
      </c>
      <c r="H38" s="26"/>
    </row>
    <row r="39" spans="1:8" ht="10.5" customHeight="1" thickBot="1" x14ac:dyDescent="0.25">
      <c r="A39" s="25"/>
      <c r="B39" s="30"/>
      <c r="C39" s="30"/>
      <c r="D39" s="30"/>
      <c r="E39" s="30"/>
      <c r="F39" s="30"/>
      <c r="G39" s="30"/>
      <c r="H39" s="26"/>
    </row>
    <row r="40" spans="1:8" ht="15.95" customHeight="1" thickTop="1" x14ac:dyDescent="0.2">
      <c r="A40" s="32"/>
      <c r="B40" s="918" t="s">
        <v>238</v>
      </c>
      <c r="C40" s="919"/>
      <c r="D40" s="919"/>
      <c r="E40" s="919"/>
      <c r="F40" s="920"/>
      <c r="G40" s="33" t="s">
        <v>239</v>
      </c>
      <c r="H40" s="33"/>
    </row>
    <row r="41" spans="1:8" ht="15.95" customHeight="1" x14ac:dyDescent="0.2">
      <c r="A41" s="34"/>
      <c r="B41" s="905" t="s">
        <v>240</v>
      </c>
      <c r="C41" s="906"/>
      <c r="D41" s="906"/>
      <c r="E41" s="906"/>
      <c r="F41" s="907"/>
      <c r="G41" s="28" t="s">
        <v>241</v>
      </c>
      <c r="H41" s="26"/>
    </row>
    <row r="42" spans="1:8" ht="15.95" customHeight="1" x14ac:dyDescent="0.2">
      <c r="A42" s="34"/>
      <c r="B42" s="905" t="s">
        <v>242</v>
      </c>
      <c r="C42" s="906"/>
      <c r="D42" s="906"/>
      <c r="E42" s="906"/>
      <c r="F42" s="907"/>
      <c r="G42" s="28" t="s">
        <v>239</v>
      </c>
      <c r="H42" s="29"/>
    </row>
    <row r="44" spans="1:8" x14ac:dyDescent="0.2">
      <c r="A44" s="6" t="s">
        <v>243</v>
      </c>
    </row>
    <row r="45" spans="1:8" x14ac:dyDescent="0.2">
      <c r="A45" s="6" t="s">
        <v>213</v>
      </c>
    </row>
    <row r="47" spans="1:8" x14ac:dyDescent="0.2">
      <c r="A47" s="6" t="s">
        <v>244</v>
      </c>
    </row>
    <row r="49" spans="1:6" x14ac:dyDescent="0.2">
      <c r="A49" s="6" t="s">
        <v>79</v>
      </c>
    </row>
    <row r="51" spans="1:6" x14ac:dyDescent="0.2">
      <c r="F51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6" customWidth="1"/>
    <col min="2" max="2" width="23.85546875" style="6" customWidth="1"/>
    <col min="3" max="3" width="9.28515625" style="6" bestFit="1" customWidth="1"/>
    <col min="4" max="6" width="10.7109375" style="6" customWidth="1"/>
    <col min="7" max="7" width="9.140625" style="6"/>
    <col min="8" max="8" width="14.7109375" style="6" customWidth="1"/>
    <col min="9" max="16384" width="9.140625" style="6"/>
  </cols>
  <sheetData>
    <row r="1" spans="1:8" x14ac:dyDescent="0.2">
      <c r="A1" s="365" t="s">
        <v>245</v>
      </c>
      <c r="F1" s="1" t="s">
        <v>378</v>
      </c>
    </row>
    <row r="3" spans="1:8" x14ac:dyDescent="0.2">
      <c r="A3" s="6" t="s">
        <v>246</v>
      </c>
      <c r="B3" s="36">
        <f ca="1">TODAY()</f>
        <v>42751</v>
      </c>
      <c r="F3" s="41">
        <f>__0_PatNum</f>
        <v>0</v>
      </c>
      <c r="G3" s="42"/>
      <c r="H3" s="43"/>
    </row>
    <row r="4" spans="1:8" x14ac:dyDescent="0.2">
      <c r="A4" s="135" t="s">
        <v>489</v>
      </c>
      <c r="B4" s="6">
        <f>__1_Bed</f>
        <v>0</v>
      </c>
      <c r="F4" s="44" t="str">
        <f>__2_AchterNaam&amp;",  "&amp;__3_VoorNaam</f>
        <v xml:space="preserve">,  </v>
      </c>
      <c r="G4" s="45"/>
      <c r="H4" s="46"/>
    </row>
    <row r="5" spans="1:8" x14ac:dyDescent="0.2">
      <c r="A5" s="6" t="s">
        <v>247</v>
      </c>
      <c r="B5" s="6" t="s">
        <v>372</v>
      </c>
      <c r="F5" s="47">
        <f>__4_GebDatum</f>
        <v>1462</v>
      </c>
      <c r="G5" s="45"/>
      <c r="H5" s="46"/>
    </row>
    <row r="6" spans="1:8" x14ac:dyDescent="0.2">
      <c r="A6" s="365"/>
      <c r="F6" s="44" t="s">
        <v>267</v>
      </c>
      <c r="G6" s="45" t="str">
        <f>_Pat_Gewicht/10&amp;" kg"</f>
        <v>0 kg</v>
      </c>
      <c r="H6" s="46"/>
    </row>
    <row r="7" spans="1:8" x14ac:dyDescent="0.2">
      <c r="A7" s="6" t="s">
        <v>314</v>
      </c>
      <c r="B7" s="6" t="s">
        <v>248</v>
      </c>
      <c r="F7" s="48"/>
      <c r="G7" s="40"/>
      <c r="H7" s="49"/>
    </row>
    <row r="8" spans="1:8" x14ac:dyDescent="0.2">
      <c r="A8" s="6" t="s">
        <v>283</v>
      </c>
      <c r="B8" s="6" t="s">
        <v>248</v>
      </c>
    </row>
    <row r="9" spans="1:8" ht="13.5" thickBot="1" x14ac:dyDescent="0.25">
      <c r="A9" s="6" t="str">
        <f>IF(_Pat_Gewicht/10&lt;7,"Tot. hoev. vocht* (150 ml/kg/24 uur):","Tot. hoev. vocht* (110-90 ml/kg/24 uur):")</f>
        <v>Tot. hoev. vocht* (150 ml/kg/24 uur):</v>
      </c>
      <c r="C9" s="6">
        <f>PedBerTPN!F24</f>
        <v>0</v>
      </c>
      <c r="D9" s="6" t="s">
        <v>315</v>
      </c>
    </row>
    <row r="10" spans="1:8" ht="13.5" thickTop="1" x14ac:dyDescent="0.2">
      <c r="A10" s="921" t="s">
        <v>16</v>
      </c>
      <c r="B10" s="922"/>
      <c r="C10" s="922"/>
      <c r="D10" s="922"/>
      <c r="E10" s="922"/>
      <c r="F10" s="922"/>
      <c r="G10" s="922"/>
      <c r="H10" s="923"/>
    </row>
    <row r="11" spans="1:8" ht="25.5" x14ac:dyDescent="0.2">
      <c r="A11" s="25" t="s">
        <v>301</v>
      </c>
      <c r="B11" s="924" t="s">
        <v>166</v>
      </c>
      <c r="C11" s="926"/>
      <c r="D11" s="928" t="s">
        <v>167</v>
      </c>
      <c r="E11" s="928" t="s">
        <v>168</v>
      </c>
      <c r="F11" s="928" t="s">
        <v>169</v>
      </c>
      <c r="G11" s="26"/>
      <c r="H11" s="26" t="s">
        <v>170</v>
      </c>
    </row>
    <row r="12" spans="1:8" ht="25.5" x14ac:dyDescent="0.2">
      <c r="A12" s="27" t="s">
        <v>171</v>
      </c>
      <c r="B12" s="925"/>
      <c r="C12" s="927"/>
      <c r="D12" s="929"/>
      <c r="E12" s="929"/>
      <c r="F12" s="929"/>
      <c r="G12" s="26" t="s">
        <v>172</v>
      </c>
      <c r="H12" s="28" t="s">
        <v>173</v>
      </c>
    </row>
    <row r="13" spans="1:8" ht="20.100000000000001" customHeight="1" x14ac:dyDescent="0.2">
      <c r="A13" s="80" t="str">
        <f>IF(G15&lt;&gt;0,ROUND(G15/24,1)&amp;" ml/u","")</f>
        <v/>
      </c>
      <c r="B13" s="63" t="s">
        <v>70</v>
      </c>
      <c r="C13" s="64"/>
      <c r="D13" s="64" t="s">
        <v>71</v>
      </c>
      <c r="E13" s="64" t="s">
        <v>72</v>
      </c>
      <c r="F13" s="65" t="s">
        <v>73</v>
      </c>
      <c r="G13" s="85" t="str">
        <f>IF(_Ped_TPN_Keuze&lt;&gt;1,PedBerTPN!F4,"")</f>
        <v/>
      </c>
      <c r="H13" s="26"/>
    </row>
    <row r="14" spans="1:8" ht="20.100000000000001" customHeight="1" x14ac:dyDescent="0.2">
      <c r="A14" s="81"/>
      <c r="B14" s="63"/>
      <c r="C14" s="64"/>
      <c r="D14" s="64"/>
      <c r="E14" s="64"/>
      <c r="F14" s="65"/>
      <c r="G14" s="66"/>
      <c r="H14" s="26"/>
    </row>
    <row r="15" spans="1:8" ht="20.100000000000001" customHeight="1" x14ac:dyDescent="0.2">
      <c r="A15" s="25"/>
      <c r="B15" s="83"/>
      <c r="C15" s="83"/>
      <c r="D15" s="83"/>
      <c r="E15" s="83"/>
      <c r="F15" s="83" t="s">
        <v>214</v>
      </c>
      <c r="G15" s="84">
        <f>SUM(G13:G14)</f>
        <v>0</v>
      </c>
      <c r="H15" s="26"/>
    </row>
    <row r="16" spans="1:8" ht="20.100000000000001" customHeight="1" x14ac:dyDescent="0.2">
      <c r="A16" s="25"/>
      <c r="B16" s="64"/>
      <c r="C16" s="64"/>
      <c r="D16" s="64"/>
      <c r="E16" s="64"/>
      <c r="F16" s="64"/>
      <c r="G16" s="82"/>
      <c r="H16" s="26"/>
    </row>
    <row r="17" spans="1:8" ht="20.100000000000001" customHeight="1" x14ac:dyDescent="0.2">
      <c r="A17" s="81" t="str">
        <f>IF(G19&lt;&gt;0,ROUND(G19/24,1)&amp;" ml/u","")</f>
        <v/>
      </c>
      <c r="B17" s="63" t="s">
        <v>303</v>
      </c>
      <c r="C17" s="64"/>
      <c r="D17" s="64"/>
      <c r="E17" s="60"/>
      <c r="F17" s="61" t="s">
        <v>175</v>
      </c>
      <c r="G17" s="66">
        <f>IF(AND(OR(_Ped_TPN_SST1Keuze&lt;11,_Pat_Gewicht/10&gt;50),_Ped_TPN_Keuze&lt;&gt;1),ROUND(PedBerTPN!F5,0),0)</f>
        <v>0</v>
      </c>
      <c r="H17" s="26"/>
    </row>
    <row r="18" spans="1:8" ht="20.100000000000001" customHeight="1" x14ac:dyDescent="0.2">
      <c r="A18" s="25"/>
      <c r="B18" s="63" t="s">
        <v>296</v>
      </c>
      <c r="C18" s="64"/>
      <c r="D18" s="64"/>
      <c r="E18" s="64"/>
      <c r="F18" s="65" t="s">
        <v>69</v>
      </c>
      <c r="G18" s="66">
        <f>IF(G17&gt;0,100,0)</f>
        <v>0</v>
      </c>
      <c r="H18" s="26"/>
    </row>
    <row r="19" spans="1:8" ht="20.100000000000001" customHeight="1" x14ac:dyDescent="0.2">
      <c r="A19" s="25"/>
      <c r="B19" s="58"/>
      <c r="C19" s="58"/>
      <c r="D19" s="58"/>
      <c r="E19" s="917" t="s">
        <v>212</v>
      </c>
      <c r="F19" s="917"/>
      <c r="G19" s="55">
        <f>SUM(G17:G18)</f>
        <v>0</v>
      </c>
      <c r="H19" s="26"/>
    </row>
    <row r="20" spans="1:8" ht="20.100000000000001" customHeight="1" x14ac:dyDescent="0.2">
      <c r="A20" s="25"/>
      <c r="B20" s="52"/>
      <c r="C20" s="52"/>
      <c r="D20" s="52"/>
      <c r="E20" s="52"/>
      <c r="F20" s="52"/>
      <c r="G20" s="30"/>
      <c r="H20" s="26"/>
    </row>
    <row r="21" spans="1:8" ht="20.100000000000001" customHeight="1" x14ac:dyDescent="0.2">
      <c r="A21" s="25" t="str">
        <f>IF(G24&lt;&gt;0,ROUND(G24/24,1)&amp;" ml/u","")</f>
        <v/>
      </c>
      <c r="B21" s="59" t="s">
        <v>192</v>
      </c>
      <c r="C21" s="60"/>
      <c r="D21" s="60" t="s">
        <v>74</v>
      </c>
      <c r="E21" s="60" t="s">
        <v>75</v>
      </c>
      <c r="F21" s="61" t="s">
        <v>76</v>
      </c>
      <c r="G21" s="62">
        <f>ROUND(PedBerTPN!F13,0)</f>
        <v>0</v>
      </c>
      <c r="H21" s="26"/>
    </row>
    <row r="22" spans="1:8" ht="20.100000000000001" customHeight="1" x14ac:dyDescent="0.2">
      <c r="A22" s="25"/>
      <c r="B22" s="63" t="s">
        <v>193</v>
      </c>
      <c r="C22" s="64"/>
      <c r="D22" s="64"/>
      <c r="E22" s="60"/>
      <c r="F22" s="61" t="s">
        <v>77</v>
      </c>
      <c r="G22" s="66">
        <f>ROUND(PedBerTPN!F14,0)</f>
        <v>0</v>
      </c>
      <c r="H22" s="26"/>
    </row>
    <row r="23" spans="1:8" ht="20.100000000000001" customHeight="1" x14ac:dyDescent="0.2">
      <c r="A23" s="25"/>
      <c r="B23" s="63" t="s">
        <v>209</v>
      </c>
      <c r="C23" s="64"/>
      <c r="D23" s="64"/>
      <c r="E23" s="60"/>
      <c r="F23" s="61" t="s">
        <v>77</v>
      </c>
      <c r="G23" s="66">
        <f>ROUND(PedBerTPN!F15,0)</f>
        <v>0</v>
      </c>
      <c r="H23" s="26"/>
    </row>
    <row r="24" spans="1:8" ht="20.100000000000001" customHeight="1" x14ac:dyDescent="0.2">
      <c r="A24" s="25"/>
      <c r="B24" s="52"/>
      <c r="C24" s="52"/>
      <c r="D24" s="52"/>
      <c r="E24" s="917" t="s">
        <v>212</v>
      </c>
      <c r="F24" s="917"/>
      <c r="G24" s="57">
        <f>SUM(G21:G23)</f>
        <v>0</v>
      </c>
      <c r="H24" s="53"/>
    </row>
    <row r="25" spans="1:8" ht="15.95" customHeight="1" thickBot="1" x14ac:dyDescent="0.25">
      <c r="A25" s="25"/>
      <c r="B25" s="52"/>
      <c r="C25" s="52"/>
      <c r="D25" s="52"/>
      <c r="E25" s="52"/>
      <c r="F25" s="52"/>
      <c r="G25" s="30"/>
      <c r="H25" s="26"/>
    </row>
    <row r="26" spans="1:8" ht="15.95" customHeight="1" thickTop="1" x14ac:dyDescent="0.2">
      <c r="A26" s="32"/>
      <c r="B26" s="930" t="s">
        <v>114</v>
      </c>
      <c r="C26" s="931"/>
      <c r="D26" s="931"/>
      <c r="E26" s="931"/>
      <c r="F26" s="931"/>
      <c r="G26" s="50"/>
      <c r="H26" s="33"/>
    </row>
    <row r="27" spans="1:8" ht="20.100000000000001" customHeight="1" x14ac:dyDescent="0.2">
      <c r="A27" s="910" t="str">
        <f>IF(G35&lt;&gt;0,ROUND(G35/24,1)&amp;" ml/u","")</f>
        <v/>
      </c>
      <c r="B27" s="70" t="s">
        <v>34</v>
      </c>
      <c r="C27" s="72"/>
      <c r="D27" s="72"/>
      <c r="E27" s="72"/>
      <c r="F27" s="76"/>
      <c r="G27" s="77">
        <f>IF(AND(OR(_Ped_TPN_Keuze=1,_Pat_Gewicht/10&gt;50,AND(_Ped_TPN_Keuze=2,_Ped_TPN_SST1Keuze&gt;10))),ROUND(PedBerTPN!F7,0),"")</f>
        <v>0</v>
      </c>
      <c r="H27" s="26"/>
    </row>
    <row r="28" spans="1:8" ht="20.100000000000001" customHeight="1" x14ac:dyDescent="0.2">
      <c r="A28" s="911"/>
      <c r="B28" s="71" t="s">
        <v>400</v>
      </c>
      <c r="C28" s="74"/>
      <c r="D28" s="74"/>
      <c r="E28" s="74"/>
      <c r="F28" s="78"/>
      <c r="G28" s="79">
        <f>IF(AND(OR(_Ped_TPN_Keuze=1,_Pat_Gewicht/10&gt;50,AND(_Ped_TPN_Keuze=2,_Ped_TPN_SST1Keuze&gt;10))),ROUND(PedBerTPN!F8,0),"")</f>
        <v>0</v>
      </c>
      <c r="H28" s="26"/>
    </row>
    <row r="29" spans="1:8" ht="15.95" customHeight="1" x14ac:dyDescent="0.2">
      <c r="A29" s="51"/>
      <c r="B29" s="71" t="s">
        <v>419</v>
      </c>
      <c r="C29" s="74"/>
      <c r="D29" s="74"/>
      <c r="E29" s="74"/>
      <c r="F29" s="78"/>
      <c r="G29" s="79">
        <f>PedBerTPN!F9</f>
        <v>0</v>
      </c>
      <c r="H29" s="26"/>
    </row>
    <row r="30" spans="1:8" ht="15.95" customHeight="1" x14ac:dyDescent="0.2">
      <c r="A30" s="51"/>
      <c r="B30" s="71" t="s">
        <v>420</v>
      </c>
      <c r="C30" s="74"/>
      <c r="D30" s="74"/>
      <c r="E30" s="74"/>
      <c r="F30" s="78"/>
      <c r="G30" s="79">
        <f>PedBerTPN!F10</f>
        <v>0</v>
      </c>
      <c r="H30" s="26"/>
    </row>
    <row r="31" spans="1:8" ht="15.95" customHeight="1" x14ac:dyDescent="0.2">
      <c r="A31" s="51"/>
      <c r="B31" s="71" t="s">
        <v>296</v>
      </c>
      <c r="C31" s="74"/>
      <c r="D31" s="74"/>
      <c r="E31" s="74"/>
      <c r="F31" s="78"/>
      <c r="G31" s="79">
        <f>IF(_Pat_Gewicht/10&lt;=50,PedBerTPN!F17,0)+IF(OR(AND(_Ped_TPN_SST1Keuze=2,_Ped_TPN_Keuze=1),AND(_Ped_TPN_SST1Keuze=2,_Pat_Gewicht/10&gt;50)),ROUND(PedBerTPN!F6,0),0)</f>
        <v>0</v>
      </c>
      <c r="H31" s="26"/>
    </row>
    <row r="32" spans="1:8" ht="15.95" customHeight="1" x14ac:dyDescent="0.2">
      <c r="A32" s="51"/>
      <c r="B32" s="71">
        <f>IF(AND(OR(_Ped_TPN_Keuze=1,AND(_Ped_TPN_Keuze=2,_Ped_TPN_SST1Keuze&gt;10)),_Ped_TPN_SST1Keuze&lt;&gt;2,_Ped_TPN_SST1Keuze&lt;&gt;12,_Ped_TPN_SST1Keuze&lt;&gt;13),INDEX(tblSSTGlucose,_Ped_TPN_SST1Keuze,1),"Glucose       %")</f>
        <v>0</v>
      </c>
      <c r="C32" s="74"/>
      <c r="D32" s="74"/>
      <c r="E32" s="74"/>
      <c r="F32" s="78"/>
      <c r="G32" s="79">
        <f>IF(AND(_Ped_TPN_SST1Keuze&lt;&gt;2,_Ped_TPN_SST1Keuze&lt;&gt;12,_Ped_TPN_SST1Keuze&lt;&gt;13),PedBerTPN!F6,"")</f>
        <v>0</v>
      </c>
      <c r="H32" s="26"/>
    </row>
    <row r="33" spans="1:8" ht="15.95" customHeight="1" x14ac:dyDescent="0.2">
      <c r="A33" s="51"/>
      <c r="B33" s="940" t="s">
        <v>35</v>
      </c>
      <c r="C33" s="941"/>
      <c r="D33" s="941"/>
      <c r="E33" s="941"/>
      <c r="F33" s="78"/>
      <c r="G33" s="79" t="str">
        <f>IF(AND(_Ped_TPN_SST1Keuze=12),ROUND(PedBerTPN!F6,0),"")</f>
        <v/>
      </c>
      <c r="H33" s="26"/>
    </row>
    <row r="34" spans="1:8" ht="20.100000000000001" customHeight="1" x14ac:dyDescent="0.2">
      <c r="A34" s="25"/>
      <c r="B34" s="940" t="s">
        <v>36</v>
      </c>
      <c r="C34" s="941"/>
      <c r="D34" s="941"/>
      <c r="E34" s="941"/>
      <c r="F34" s="78"/>
      <c r="G34" s="79" t="str">
        <f>IF(AND(_Ped_TPN_SST1Keuze=13),ROUND(PedBerTPN!F6,0),"")</f>
        <v/>
      </c>
      <c r="H34" s="26"/>
    </row>
    <row r="35" spans="1:8" ht="20.100000000000001" customHeight="1" x14ac:dyDescent="0.2">
      <c r="A35" s="25"/>
      <c r="B35" s="30"/>
      <c r="C35" s="30"/>
      <c r="D35" s="30"/>
      <c r="E35" s="914" t="s">
        <v>214</v>
      </c>
      <c r="F35" s="914"/>
      <c r="G35" s="56">
        <f>SUM(G27:G34)</f>
        <v>0</v>
      </c>
      <c r="H35" s="26"/>
    </row>
    <row r="36" spans="1:8" ht="20.100000000000001" customHeight="1" thickBot="1" x14ac:dyDescent="0.25">
      <c r="A36" s="25"/>
      <c r="B36" s="30"/>
      <c r="C36" s="30"/>
      <c r="D36" s="30"/>
      <c r="E36" s="30"/>
      <c r="F36" s="30"/>
      <c r="G36" s="30"/>
      <c r="H36" s="26"/>
    </row>
    <row r="37" spans="1:8" ht="20.100000000000001" customHeight="1" thickTop="1" x14ac:dyDescent="0.2">
      <c r="A37" s="32"/>
      <c r="B37" s="918" t="s">
        <v>238</v>
      </c>
      <c r="C37" s="919"/>
      <c r="D37" s="919"/>
      <c r="E37" s="919"/>
      <c r="F37" s="920"/>
      <c r="G37" s="33" t="s">
        <v>239</v>
      </c>
      <c r="H37" s="33"/>
    </row>
    <row r="38" spans="1:8" ht="20.100000000000001" customHeight="1" x14ac:dyDescent="0.2">
      <c r="A38" s="34"/>
      <c r="B38" s="905" t="s">
        <v>240</v>
      </c>
      <c r="C38" s="906"/>
      <c r="D38" s="906"/>
      <c r="E38" s="906"/>
      <c r="F38" s="907"/>
      <c r="G38" s="28" t="s">
        <v>241</v>
      </c>
      <c r="H38" s="26"/>
    </row>
    <row r="39" spans="1:8" ht="20.100000000000001" customHeight="1" x14ac:dyDescent="0.2">
      <c r="A39" s="34"/>
      <c r="B39" s="905" t="s">
        <v>242</v>
      </c>
      <c r="C39" s="906"/>
      <c r="D39" s="906"/>
      <c r="E39" s="906"/>
      <c r="F39" s="907"/>
      <c r="G39" s="28" t="s">
        <v>239</v>
      </c>
      <c r="H39" s="29"/>
    </row>
    <row r="40" spans="1:8" ht="20.100000000000001" customHeight="1" x14ac:dyDescent="0.2"/>
    <row r="41" spans="1:8" ht="15.95" customHeight="1" x14ac:dyDescent="0.2">
      <c r="A41" s="6" t="s">
        <v>243</v>
      </c>
    </row>
    <row r="42" spans="1:8" ht="10.5" customHeight="1" x14ac:dyDescent="0.2">
      <c r="A42" s="6" t="s">
        <v>213</v>
      </c>
    </row>
    <row r="43" spans="1:8" ht="15.95" customHeight="1" x14ac:dyDescent="0.2"/>
    <row r="44" spans="1:8" ht="15.95" customHeight="1" x14ac:dyDescent="0.2">
      <c r="A44" s="6" t="s">
        <v>244</v>
      </c>
    </row>
    <row r="45" spans="1:8" ht="15.95" customHeight="1" x14ac:dyDescent="0.2"/>
    <row r="46" spans="1:8" x14ac:dyDescent="0.2">
      <c r="A46" s="6" t="s">
        <v>79</v>
      </c>
    </row>
    <row r="48" spans="1:8" x14ac:dyDescent="0.2">
      <c r="F48" s="1"/>
    </row>
  </sheetData>
  <sheetProtection password="CC20" sheet="1" objects="1" scenario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16" topLeftCell="A29" activePane="bottomLeft" state="frozen"/>
      <selection pane="bottomLeft"/>
    </sheetView>
  </sheetViews>
  <sheetFormatPr defaultColWidth="9.140625" defaultRowHeight="15.95" customHeight="1" x14ac:dyDescent="0.2"/>
  <cols>
    <col min="1" max="1" width="3.7109375" style="204" customWidth="1"/>
    <col min="2" max="5" width="12.42578125" style="204" customWidth="1"/>
    <col min="6" max="6" width="10.7109375" style="204" customWidth="1"/>
    <col min="7" max="11" width="12.42578125" style="204" customWidth="1"/>
    <col min="12" max="12" width="5.28515625" style="204" customWidth="1"/>
    <col min="13" max="13" width="7.85546875" style="204" customWidth="1"/>
    <col min="14" max="14" width="17.140625" style="204" customWidth="1"/>
    <col min="15" max="19" width="12.42578125" style="204" customWidth="1"/>
    <col min="20" max="16384" width="9.140625" style="204"/>
  </cols>
  <sheetData>
    <row r="1" spans="1:15" ht="18" customHeight="1" x14ac:dyDescent="0.2">
      <c r="A1" s="366"/>
      <c r="B1" s="503" t="str">
        <f ca="1">IF(E60&lt;0,"Te weinig volume voor TPN!","")</f>
        <v>Te weinig volume voor TPN!</v>
      </c>
    </row>
    <row r="2" spans="1:15" ht="15.95" customHeight="1" x14ac:dyDescent="0.2">
      <c r="B2" s="496" t="s">
        <v>348</v>
      </c>
      <c r="C2" s="496" t="s">
        <v>528</v>
      </c>
      <c r="D2" s="496" t="s">
        <v>529</v>
      </c>
      <c r="E2" s="496" t="s">
        <v>111</v>
      </c>
      <c r="F2" s="497"/>
      <c r="G2" s="496"/>
      <c r="H2" s="496" t="s">
        <v>528</v>
      </c>
      <c r="I2" s="496" t="s">
        <v>529</v>
      </c>
      <c r="J2" s="496" t="s">
        <v>111</v>
      </c>
    </row>
    <row r="3" spans="1:15" ht="15.95" customHeight="1" x14ac:dyDescent="0.2">
      <c r="B3" s="498" t="s">
        <v>304</v>
      </c>
      <c r="C3" s="499" t="e">
        <f ca="1">ROUND(NeoBerInfB!R52/(_Pat_Gewicht/10),0)&amp;" ml/kg"</f>
        <v>#DIV/0!</v>
      </c>
      <c r="D3" s="499" t="e">
        <f>ROUND(NeoBerInfB!R51/(_Pat_Gewicht/10),0)&amp;" ml/kg"</f>
        <v>#DIV/0!</v>
      </c>
      <c r="E3" s="499" t="e">
        <f ca="1">ROUND(NeoBerInfB!R53/(_Pat_Gewicht/10),0)&amp;" ml/kg  "&amp;"= "&amp;ROUND(NeoBerInfB!R53,0)&amp;" ml"</f>
        <v>#DIV/0!</v>
      </c>
      <c r="F3" s="497"/>
      <c r="G3" s="498" t="s">
        <v>164</v>
      </c>
      <c r="H3" s="499" t="e">
        <f ca="1">ROUND(NeoBerInfB!S52/(_Pat_Gewicht/10),1)&amp;" mmol/kg"</f>
        <v>#DIV/0!</v>
      </c>
      <c r="I3" s="499" t="e">
        <f>ROUND(NeoBerInfB!S51/(_Pat_Gewicht/10),1)&amp;" mmol/kg"</f>
        <v>#DIV/0!</v>
      </c>
      <c r="J3" s="499" t="e">
        <f ca="1">ROUND(NeoBerInfB!S53/(_Pat_Gewicht/10),1)&amp;" mmol/kg"</f>
        <v>#DIV/0!</v>
      </c>
      <c r="K3" s="942" t="str">
        <f>NeoBerInfB!B3</f>
        <v>Actuele Afspraken</v>
      </c>
      <c r="L3" s="942"/>
      <c r="M3" s="942"/>
      <c r="N3" s="942"/>
    </row>
    <row r="4" spans="1:15" ht="15.95" customHeight="1" x14ac:dyDescent="0.2">
      <c r="B4" s="498" t="s">
        <v>216</v>
      </c>
      <c r="C4" s="499" t="e">
        <f ca="1">ROUND(NeoBerInfB!X52/(_Pat_Gewicht/10),1)&amp;" g/kg"</f>
        <v>#DIV/0!</v>
      </c>
      <c r="D4" s="499" t="e">
        <f>ROUND(NeoBerInfB!X51/(_Pat_Gewicht/10),1)&amp;" g/kg"</f>
        <v>#DIV/0!</v>
      </c>
      <c r="E4" s="499" t="e">
        <f ca="1">ROUND(NeoBerInfB!X53/(_Pat_Gewicht/10),1)&amp;" g/kg"</f>
        <v>#DIV/0!</v>
      </c>
      <c r="F4" s="497"/>
      <c r="G4" s="498" t="s">
        <v>272</v>
      </c>
      <c r="H4" s="499" t="e">
        <f ca="1">ROUND(NeoBerInfB!T52/(_Pat_Gewicht/10),1)&amp;" mmol/kg"</f>
        <v>#DIV/0!</v>
      </c>
      <c r="I4" s="499" t="e">
        <f>ROUND(NeoBerInfB!T51/(_Pat_Gewicht/10),1)&amp;" mmol/kg"</f>
        <v>#DIV/0!</v>
      </c>
      <c r="J4" s="499" t="e">
        <f ca="1">ROUND(NeoBerInfB!T53/(_Pat_Gewicht/10),1)&amp;" mmol/kg"</f>
        <v>#DIV/0!</v>
      </c>
      <c r="K4" s="942"/>
      <c r="L4" s="942"/>
      <c r="M4" s="942"/>
      <c r="N4" s="942"/>
    </row>
    <row r="5" spans="1:15" ht="15.95" customHeight="1" x14ac:dyDescent="0.2">
      <c r="B5" s="498" t="s">
        <v>217</v>
      </c>
      <c r="C5" s="499" t="e">
        <f ca="1">ROUND(NeoBerInfB!Z52/(_Pat_Gewicht/10),1)&amp;" g/kg"</f>
        <v>#DIV/0!</v>
      </c>
      <c r="D5" s="499" t="e">
        <f>ROUND(NeoBerInfB!Z51/(_Pat_Gewicht/10),1)&amp;" g/kg"</f>
        <v>#DIV/0!</v>
      </c>
      <c r="E5" s="499" t="e">
        <f ca="1">ROUND(NeoBerInfB!Z53/(_Pat_Gewicht/10),1)&amp;" g/kg"</f>
        <v>#DIV/0!</v>
      </c>
      <c r="F5" s="497"/>
      <c r="G5" s="498" t="s">
        <v>218</v>
      </c>
      <c r="H5" s="499" t="e">
        <f ca="1">ROUND(NeoBerInfB!U52/(_Pat_Gewicht/10),1)&amp;" mmol/kg"</f>
        <v>#DIV/0!</v>
      </c>
      <c r="I5" s="499" t="e">
        <f>ROUND(NeoBerInfB!U51/(_Pat_Gewicht/10),1)&amp;" mmol/kg"</f>
        <v>#DIV/0!</v>
      </c>
      <c r="J5" s="499" t="e">
        <f ca="1">ROUND(NeoBerInfB!U53/(_Pat_Gewicht/10),1)&amp;" mmol/kg"</f>
        <v>#DIV/0!</v>
      </c>
      <c r="K5" s="942"/>
      <c r="L5" s="942"/>
      <c r="M5" s="942"/>
      <c r="N5" s="942"/>
    </row>
    <row r="6" spans="1:15" ht="15.95" customHeight="1" x14ac:dyDescent="0.2">
      <c r="A6" s="366"/>
      <c r="B6" s="498" t="s">
        <v>530</v>
      </c>
      <c r="C6" s="499" t="e">
        <f ca="1">ROUND(1000*NeoBerInfB!Y52/(_Pat_Gewicht/10)/1440,1)&amp;" mg/kg/min"</f>
        <v>#DIV/0!</v>
      </c>
      <c r="D6" s="499" t="e">
        <f>ROUND(1000*NeoBerInfB!Y51/(_Pat_Gewicht/10)/1440,1)&amp;" mg/kg/min"</f>
        <v>#DIV/0!</v>
      </c>
      <c r="E6" s="499" t="e">
        <f ca="1">ROUND(1000*NeoBerInfB!Y53/(_Pat_Gewicht/10)/1440,1)&amp;" mg/kg/min"</f>
        <v>#DIV/0!</v>
      </c>
      <c r="F6" s="497"/>
      <c r="G6" s="498" t="s">
        <v>309</v>
      </c>
      <c r="H6" s="499" t="e">
        <f ca="1">ROUND(NeoBerInfB!V52/(_Pat_Gewicht/10),1)&amp;" mmol/kg"</f>
        <v>#DIV/0!</v>
      </c>
      <c r="I6" s="499" t="e">
        <f>ROUND(NeoBerInfB!V51/(_Pat_Gewicht/10),1)&amp;" mmol/kg"</f>
        <v>#DIV/0!</v>
      </c>
      <c r="J6" s="499" t="e">
        <f ca="1">ROUND(NeoBerInfB!V53/(_Pat_Gewicht/10),1)&amp;" mmol/kg"</f>
        <v>#DIV/0!</v>
      </c>
      <c r="K6" s="942"/>
      <c r="L6" s="942"/>
      <c r="M6" s="942"/>
      <c r="N6" s="942"/>
    </row>
    <row r="7" spans="1:15" ht="15.95" customHeight="1" x14ac:dyDescent="0.2">
      <c r="B7" s="498" t="s">
        <v>523</v>
      </c>
      <c r="C7" s="499" t="e">
        <f ca="1">ROUND(NeoBerInfB!AA52/(_Pat_Gewicht/10),1)&amp; " kcal/kg"</f>
        <v>#DIV/0!</v>
      </c>
      <c r="D7" s="499" t="e">
        <f>ROUND(NeoBerInfB!AA51/(_Pat_Gewicht/10),1)&amp; " kcal/kg"</f>
        <v>#DIV/0!</v>
      </c>
      <c r="E7" s="499" t="e">
        <f ca="1">ROUND(NeoBerInfB!AA53/(_Pat_Gewicht/10),1)&amp; " kcal/kg"</f>
        <v>#DIV/0!</v>
      </c>
      <c r="F7" s="497"/>
      <c r="G7" s="498" t="s">
        <v>531</v>
      </c>
      <c r="H7" s="499" t="e">
        <f ca="1">ROUND(NeoBerInfB!AB52/(_Pat_Gewicht/10),1)&amp;" mmol/kg"</f>
        <v>#DIV/0!</v>
      </c>
      <c r="I7" s="499" t="e">
        <f>ROUND(NeoBerInfB!AB51/(_Pat_Gewicht/10),1)&amp;" mmol/kg"</f>
        <v>#DIV/0!</v>
      </c>
      <c r="J7" s="499" t="e">
        <f ca="1">ROUND(NeoBerInfB!AB53/(_Pat_Gewicht/10),1)&amp;" mmol/kg"</f>
        <v>#DIV/0!</v>
      </c>
    </row>
    <row r="8" spans="1:15" ht="15.95" customHeight="1" thickBot="1" x14ac:dyDescent="0.25">
      <c r="A8" s="505"/>
      <c r="B8" s="500" t="s">
        <v>532</v>
      </c>
      <c r="C8" s="501" t="str">
        <f ca="1">ROUND(NeoBerInfB!AC52,0)&amp; " IE"</f>
        <v>40 IE</v>
      </c>
      <c r="D8" s="501" t="str">
        <f>ROUND(NeoBerInfB!AC51,0)&amp; " IE"</f>
        <v>15 IE</v>
      </c>
      <c r="E8" s="501" t="str">
        <f ca="1">ROUND(NeoBerInfB!AC53,0)&amp; " IE"</f>
        <v>55 IE</v>
      </c>
      <c r="F8" s="502"/>
      <c r="G8" s="500" t="s">
        <v>219</v>
      </c>
      <c r="H8" s="501" t="e">
        <f ca="1">ROUND(NeoBerInfB!W52/(_Pat_Gewicht/10),1)&amp;" mmol/kg"</f>
        <v>#DIV/0!</v>
      </c>
      <c r="I8" s="501" t="e">
        <f>ROUND(NeoBerInfB!W51/(_Pat_Gewicht/10),1)&amp;" mmol/kg"</f>
        <v>#DIV/0!</v>
      </c>
      <c r="J8" s="501" t="e">
        <f ca="1">ROUND(NeoBerInfB!W53/(_Pat_Gewicht/10),1)&amp;" mmol/kg"</f>
        <v>#DIV/0!</v>
      </c>
      <c r="K8" s="505"/>
      <c r="L8" s="505"/>
      <c r="M8" s="505"/>
      <c r="N8" s="505"/>
      <c r="O8" s="505"/>
    </row>
    <row r="9" spans="1:15" ht="8.25" customHeight="1" thickTop="1" x14ac:dyDescent="0.2">
      <c r="A9" s="506"/>
      <c r="B9" s="321"/>
      <c r="C9" s="507"/>
      <c r="D9" s="507"/>
      <c r="E9" s="507"/>
      <c r="F9" s="213"/>
      <c r="G9" s="321"/>
      <c r="H9" s="507"/>
      <c r="I9" s="507"/>
      <c r="J9" s="507"/>
      <c r="K9" s="213"/>
      <c r="L9" s="213"/>
      <c r="M9" s="213"/>
      <c r="N9" s="213"/>
    </row>
    <row r="10" spans="1:15" ht="15.95" customHeight="1" x14ac:dyDescent="0.2">
      <c r="B10" s="481" t="s">
        <v>533</v>
      </c>
      <c r="C10" s="482"/>
      <c r="D10" s="482"/>
      <c r="E10" s="482"/>
      <c r="F10" s="482"/>
      <c r="G10" s="483" t="s">
        <v>338</v>
      </c>
      <c r="H10" s="482"/>
      <c r="I10" s="482">
        <f>__0_PatNum</f>
        <v>0</v>
      </c>
      <c r="J10" s="482"/>
      <c r="K10" s="482"/>
      <c r="L10" s="482"/>
      <c r="M10" s="482"/>
    </row>
    <row r="11" spans="1:15" ht="15.95" customHeight="1" x14ac:dyDescent="0.2">
      <c r="B11" s="481" t="s">
        <v>534</v>
      </c>
      <c r="C11" s="482"/>
      <c r="D11" s="482"/>
      <c r="E11" s="482"/>
      <c r="F11" s="482"/>
      <c r="G11" s="483" t="s">
        <v>28</v>
      </c>
      <c r="H11" s="482"/>
      <c r="I11" s="484" t="str">
        <f>__2_AchterNaam &amp;",  "&amp;__3_VoorNaam</f>
        <v xml:space="preserve">,  </v>
      </c>
      <c r="J11" s="485"/>
      <c r="K11" s="482"/>
      <c r="L11" s="482"/>
      <c r="M11" s="482"/>
    </row>
    <row r="12" spans="1:15" ht="15.95" customHeight="1" x14ac:dyDescent="0.2">
      <c r="B12" s="481" t="s">
        <v>535</v>
      </c>
      <c r="C12" s="482"/>
      <c r="D12" s="482"/>
      <c r="E12" s="482"/>
      <c r="F12" s="482"/>
      <c r="G12" s="483" t="s">
        <v>536</v>
      </c>
      <c r="H12" s="482"/>
      <c r="I12" s="486" t="e">
        <f>NeoBerInfB!#REF!-NeoBerInfB!#REF!</f>
        <v>#REF!</v>
      </c>
      <c r="J12" s="487" t="str">
        <f ca="1">"=dag "&amp;NeoBerInfB!B4</f>
        <v>=dag 41290</v>
      </c>
      <c r="K12" s="482"/>
      <c r="L12" s="482"/>
      <c r="M12" s="482"/>
    </row>
    <row r="13" spans="1:15" ht="15.95" customHeight="1" x14ac:dyDescent="0.2">
      <c r="B13" s="482"/>
      <c r="C13" s="482"/>
      <c r="D13" s="482"/>
      <c r="E13" s="482"/>
      <c r="F13" s="482"/>
      <c r="G13" s="483" t="s">
        <v>493</v>
      </c>
      <c r="H13" s="488" t="e">
        <f>NeoBerInfB!#REF!</f>
        <v>#REF!</v>
      </c>
      <c r="I13" s="489" t="s">
        <v>537</v>
      </c>
      <c r="J13" s="488" t="e">
        <f>NeoBerInfB!#REF!</f>
        <v>#REF!</v>
      </c>
      <c r="K13" s="489" t="s">
        <v>538</v>
      </c>
      <c r="L13" s="489"/>
      <c r="M13" s="482"/>
    </row>
    <row r="14" spans="1:15" ht="15.95" customHeight="1" x14ac:dyDescent="0.2">
      <c r="B14" s="483" t="s">
        <v>297</v>
      </c>
      <c r="C14" s="486" t="e">
        <f>NeoBerInfB!#REF!</f>
        <v>#REF!</v>
      </c>
      <c r="D14" s="482"/>
      <c r="E14" s="482"/>
      <c r="F14" s="482"/>
      <c r="G14" s="482"/>
      <c r="H14" s="482"/>
      <c r="I14" s="482"/>
      <c r="J14" s="482"/>
      <c r="K14" s="482"/>
      <c r="L14" s="482"/>
      <c r="M14" s="482"/>
    </row>
    <row r="15" spans="1:15" ht="15.95" customHeight="1" x14ac:dyDescent="0.2">
      <c r="B15" s="490" t="s">
        <v>490</v>
      </c>
      <c r="C15" s="491">
        <f>__1_Bed</f>
        <v>0</v>
      </c>
      <c r="D15" s="492"/>
      <c r="E15" s="482"/>
      <c r="F15" s="482"/>
      <c r="G15" s="483" t="s">
        <v>268</v>
      </c>
      <c r="H15" s="493" t="str">
        <f ca="1">IF(PatDetails!B18&lt;&gt;"",TRUNC((H13*7+J13+NeoBerInfB!B4-1)/7)&amp;" weken en "&amp; H13*7+J13+NeoBerInfB!B4-1-TRUNC((H13*7+J13+NeoBerInfB!B4-1)/7)*7&amp;" dag(-en)","")</f>
        <v/>
      </c>
      <c r="I15" s="482"/>
      <c r="J15" s="482"/>
      <c r="K15" s="482"/>
      <c r="L15" s="482"/>
      <c r="M15" s="482"/>
    </row>
    <row r="16" spans="1:15" ht="15.95" customHeight="1" x14ac:dyDescent="0.2">
      <c r="B16" s="494"/>
      <c r="C16" s="495"/>
      <c r="D16" s="495"/>
      <c r="E16" s="495"/>
      <c r="F16" s="495"/>
      <c r="G16" s="494" t="s">
        <v>507</v>
      </c>
      <c r="H16" s="495" t="str">
        <f>IF(_Pat_Gewicht&gt;0,(_Pat_Gewicht/10)&amp;" kg","")</f>
        <v/>
      </c>
      <c r="I16" s="495"/>
      <c r="J16" s="495"/>
      <c r="K16" s="495"/>
      <c r="L16" s="495"/>
      <c r="M16" s="495"/>
    </row>
    <row r="17" spans="1:15" ht="15.95" customHeight="1" x14ac:dyDescent="0.2">
      <c r="B17" s="326"/>
      <c r="K17" s="511" t="s">
        <v>539</v>
      </c>
      <c r="L17" s="511"/>
    </row>
    <row r="18" spans="1:15" ht="15.95" customHeight="1" x14ac:dyDescent="0.2">
      <c r="B18" s="326" t="s">
        <v>540</v>
      </c>
      <c r="E18" s="512">
        <f ca="1">IF(NeoBerInfB!B21,NeoBerInfB!C7,ROUND(NeoBerInfB!R53/(_Pat_Gewicht/10),1))</f>
        <v>195</v>
      </c>
      <c r="F18" s="206" t="s">
        <v>541</v>
      </c>
      <c r="K18" s="513" t="str">
        <f ca="1">ROUND(NeoBerInfB!B7,0)&amp;" ml/ kg/ 24 uur"</f>
        <v>180 ml/ kg/ 24 uur</v>
      </c>
      <c r="L18" s="513"/>
      <c r="M18" s="303"/>
    </row>
    <row r="19" spans="1:15" ht="15.95" customHeight="1" x14ac:dyDescent="0.2">
      <c r="B19" s="326" t="s">
        <v>542</v>
      </c>
      <c r="F19" s="206"/>
      <c r="K19" s="514"/>
      <c r="L19" s="514"/>
      <c r="M19" s="213"/>
    </row>
    <row r="21" spans="1:15" ht="15.95" customHeight="1" x14ac:dyDescent="0.2">
      <c r="D21" s="515" t="s">
        <v>543</v>
      </c>
      <c r="E21" s="508">
        <f>IF(Var_Neo_InfB_Ent_Voeding&gt;1,NeoBerInfB!F9,"")</f>
        <v>4</v>
      </c>
      <c r="F21" s="508" t="s">
        <v>544</v>
      </c>
      <c r="G21" s="205" t="str">
        <f>IF(Var_Neo_InfB_Ent_Voeding&gt;1,NeoBerInfB!C10/10&amp;" ml","")</f>
        <v>1 ml</v>
      </c>
      <c r="H21" s="516" t="s">
        <v>545</v>
      </c>
    </row>
    <row r="22" spans="1:15" ht="15.95" customHeight="1" x14ac:dyDescent="0.2">
      <c r="D22" s="515" t="s">
        <v>546</v>
      </c>
      <c r="E22" s="508">
        <f>IF(Var_Neo_InfB_Ent_Voeding&gt;1,NeoBerInfB!F10,"")</f>
        <v>2</v>
      </c>
      <c r="F22" s="508" t="s">
        <v>544</v>
      </c>
      <c r="G22" s="205" t="str">
        <f>IF(Var_Neo_InfB_Ent_Voeding&gt;1,NeoBerInfB!C9/10&amp;" ml","")</f>
        <v>2 ml</v>
      </c>
      <c r="I22" s="515" t="s">
        <v>843</v>
      </c>
      <c r="M22" s="515" t="s">
        <v>844</v>
      </c>
    </row>
    <row r="23" spans="1:15" ht="15.95" customHeight="1" x14ac:dyDescent="0.2">
      <c r="H23" s="515"/>
      <c r="I23" s="517" t="s">
        <v>857</v>
      </c>
      <c r="K23" s="303" t="str">
        <f>INDEX(tbl_Neo_NutrBMFWaard,NeoBerInfB!H11)&amp;" %"</f>
        <v>2.2 %</v>
      </c>
    </row>
    <row r="24" spans="1:15" ht="15.95" customHeight="1" x14ac:dyDescent="0.2">
      <c r="H24" s="515"/>
      <c r="K24" s="303" t="str">
        <f>INDEX(tbl_Neo_NutrToevWaard,NeoBerInfB!H12)&amp;" %"</f>
        <v xml:space="preserve"> %</v>
      </c>
      <c r="O24" s="303" t="str">
        <f>INDEX(tbl_Neo_NutrToevWaard,NeoBerInfB!H16)&amp;" %"</f>
        <v xml:space="preserve"> %</v>
      </c>
    </row>
    <row r="25" spans="1:15" ht="15.95" customHeight="1" x14ac:dyDescent="0.2">
      <c r="H25" s="515"/>
      <c r="K25" s="303" t="e">
        <f>INDEX(tbl_Neo_NutrToevWaard,NeoBerInfB!H13)&amp;" %"</f>
        <v>#VALUE!</v>
      </c>
      <c r="O25" s="303" t="e">
        <f>INDEX(tbl_Neo_NutrToevWaard,NeoBerInfB!H17)&amp;" %"</f>
        <v>#VALUE!</v>
      </c>
    </row>
    <row r="26" spans="1:15" ht="15.95" customHeight="1" x14ac:dyDescent="0.2">
      <c r="H26" s="515"/>
      <c r="K26" s="303" t="e">
        <f>INDEX(tbl_Neo_NutrToevWaard,NeoBerInfB!H14)&amp;" %"</f>
        <v>#VALUE!</v>
      </c>
      <c r="O26" s="303" t="e">
        <f>INDEX(tbl_Neo_NutrToevWaard,NeoBerInfB!H18)&amp;" %"</f>
        <v>#VALUE!</v>
      </c>
    </row>
    <row r="27" spans="1:15" ht="15.95" customHeight="1" x14ac:dyDescent="0.2">
      <c r="B27" s="208"/>
      <c r="C27" s="208"/>
      <c r="D27" s="208"/>
      <c r="E27" s="518"/>
      <c r="F27" s="208"/>
      <c r="G27" s="208"/>
      <c r="H27" s="518"/>
      <c r="I27" s="208"/>
      <c r="J27" s="208"/>
      <c r="K27" s="303" t="e">
        <f>INDEX(tbl_Neo_NutrToevWaard,NeoBerInfB!H15)&amp;" %"</f>
        <v>#VALUE!</v>
      </c>
      <c r="L27" s="208"/>
      <c r="M27" s="208"/>
      <c r="N27" s="208"/>
      <c r="O27" s="303" t="e">
        <f>INDEX(tbl_Neo_NutrToevWaard,NeoBerInfB!H19)&amp;" %"</f>
        <v>#VALUE!</v>
      </c>
    </row>
    <row r="28" spans="1:15" ht="15.95" customHeight="1" x14ac:dyDescent="0.2">
      <c r="B28" s="326" t="s">
        <v>547</v>
      </c>
      <c r="E28" s="512">
        <f ca="1">IF(NeoBerInfB!B21,NeoBerInfB!C21,NeoBerInfB!R52)</f>
        <v>-10</v>
      </c>
      <c r="F28" s="206" t="s">
        <v>548</v>
      </c>
    </row>
    <row r="29" spans="1:15" ht="15.95" customHeight="1" x14ac:dyDescent="0.2">
      <c r="H29" s="511" t="s">
        <v>549</v>
      </c>
      <c r="I29" s="511"/>
      <c r="J29" s="519" t="s">
        <v>497</v>
      </c>
      <c r="K29" s="511" t="s">
        <v>550</v>
      </c>
      <c r="L29" s="511"/>
      <c r="N29" s="511" t="s">
        <v>551</v>
      </c>
    </row>
    <row r="30" spans="1:15" ht="15.95" customHeight="1" x14ac:dyDescent="0.2">
      <c r="A30" s="520"/>
      <c r="B30" s="321" t="s">
        <v>693</v>
      </c>
      <c r="C30" s="213"/>
      <c r="D30" s="213"/>
      <c r="E30" s="213"/>
      <c r="F30" s="213"/>
      <c r="G30" s="521" t="str">
        <f>NeoBerInfB!B22/10&amp;" ml/uur"</f>
        <v>1 ml/uur</v>
      </c>
      <c r="H30" s="213"/>
      <c r="I30" s="213"/>
      <c r="J30" s="213"/>
      <c r="K30" s="213"/>
      <c r="L30" s="213"/>
      <c r="M30" s="522"/>
      <c r="N30" s="213"/>
    </row>
    <row r="31" spans="1:15" ht="7.5" customHeight="1" x14ac:dyDescent="0.2">
      <c r="A31" s="520"/>
      <c r="B31" s="321"/>
      <c r="C31" s="213"/>
      <c r="D31" s="213"/>
      <c r="E31" s="213"/>
      <c r="F31" s="213"/>
      <c r="G31" s="521"/>
      <c r="H31" s="213"/>
      <c r="I31" s="213"/>
      <c r="J31" s="213"/>
      <c r="K31" s="213"/>
      <c r="L31" s="213"/>
      <c r="M31" s="522"/>
      <c r="N31" s="213"/>
    </row>
    <row r="32" spans="1:15" ht="15.95" customHeight="1" x14ac:dyDescent="0.2">
      <c r="A32" s="520">
        <v>1</v>
      </c>
      <c r="B32" s="523"/>
      <c r="C32" s="524" t="str">
        <f>IF(NeoBerInfB!C23&gt;0,IF(NeoBerInfB!B23&lt;&gt;5,NeoBerInfB!C23/10&amp;" mg",NeoBerInfB!C23/10&amp;" mg"),"")</f>
        <v>200 mg</v>
      </c>
      <c r="D32" s="524" t="str">
        <f>IF(NeoBerInfB!D23&gt;0,"in "&amp;NeoBerInfB!D23&amp;" ml","")</f>
        <v>in 50 ml</v>
      </c>
      <c r="E32" s="523"/>
      <c r="F32" s="523"/>
      <c r="G32" s="525" t="str">
        <f>IF(NeoBerInfB!F23/10&gt;0,NeoBerInfB!F23/10&amp;" ml/uur","")</f>
        <v>1 ml/uur</v>
      </c>
      <c r="H32" s="524" t="str">
        <f>IF(AND(NeoBerInfB!G23&gt;0),ROUND(NeoBerInfB!G23,2),"")</f>
        <v/>
      </c>
      <c r="I32" s="524">
        <f>IF(Var_Neo_InfB_Cont_MedKeuze_1&gt;0,INDEX(Tbl_Neo_MedIV,NeoBerInfB!B23,6),"")</f>
        <v>1</v>
      </c>
      <c r="J32" s="303"/>
      <c r="K32" s="513" t="str">
        <f>INDEX(Tbl_Neo_MedIV,NeoBerInfB!B23,2)</f>
        <v>mg</v>
      </c>
      <c r="L32" s="513"/>
      <c r="M32" s="526"/>
      <c r="N32" s="527" t="str">
        <f>IF(NeoBerInfB!G23&gt;0,IF(NeoBerInfB!AF23*10&gt;1,NeoBerInfB!AE23&amp;" uren",NeoBerInfB!AE23&amp;" minuten"),"")</f>
        <v/>
      </c>
    </row>
    <row r="33" spans="1:14" ht="15.95" customHeight="1" x14ac:dyDescent="0.2">
      <c r="A33" s="520">
        <v>2</v>
      </c>
      <c r="B33" s="528"/>
      <c r="C33" s="529" t="str">
        <f>IF(NeoBerInfB!C24&gt;0,NeoBerInfB!C24/10&amp;" mg","")</f>
        <v/>
      </c>
      <c r="D33" s="529" t="str">
        <f>IF(NeoBerInfB!D24&gt;0,"in "&amp;NeoBerInfB!D24&amp;" ml","")</f>
        <v/>
      </c>
      <c r="E33" s="528"/>
      <c r="F33" s="528"/>
      <c r="G33" s="530" t="str">
        <f>IF(NeoBerInfB!F24/10&gt;0,NeoBerInfB!F24/10&amp;" ml/uur","")</f>
        <v/>
      </c>
      <c r="H33" s="524" t="str">
        <f>IF(AND(NeoBerInfB!G24&gt;0),ROUND(NeoBerInfB!G24,2),"")</f>
        <v/>
      </c>
      <c r="I33" s="524">
        <f>IF(Var_Neo_InfB_Cont_MedKeuze_1&gt;0,INDEX(Tbl_Neo_MedIV,NeoBerInfB!B24,6),"")</f>
        <v>0</v>
      </c>
      <c r="J33" s="531"/>
      <c r="K33" s="532">
        <f>INDEX(Tbl_Neo_MedIV,NeoBerInfB!B24,2)</f>
        <v>0</v>
      </c>
      <c r="L33" s="532"/>
      <c r="M33" s="533"/>
      <c r="N33" s="534" t="str">
        <f>IF(NeoBerInfB!G24&gt;0,IF(NeoBerInfB!AF24*10&gt;1,NeoBerInfB!AE24&amp;" uren",NeoBerInfB!AE24&amp;" minuten"),"")</f>
        <v/>
      </c>
    </row>
    <row r="34" spans="1:14" ht="15.95" customHeight="1" x14ac:dyDescent="0.2">
      <c r="A34" s="520">
        <v>3</v>
      </c>
      <c r="B34" s="528"/>
      <c r="C34" s="529" t="str">
        <f>IF(NeoBerInfB!C25&gt;0,NeoBerInfB!C25/10&amp;" mg","")</f>
        <v/>
      </c>
      <c r="D34" s="529" t="str">
        <f>IF(NeoBerInfB!D25&gt;0,"in "&amp;NeoBerInfB!D25&amp;" ml","")</f>
        <v/>
      </c>
      <c r="E34" s="528"/>
      <c r="F34" s="528"/>
      <c r="G34" s="530" t="str">
        <f>IF(NeoBerInfB!F25/10&gt;0,NeoBerInfB!F25/10&amp;" ml/uur","")</f>
        <v/>
      </c>
      <c r="H34" s="524" t="str">
        <f>IF(AND(NeoBerInfB!G25&gt;0),ROUND(NeoBerInfB!G25,2),"")</f>
        <v/>
      </c>
      <c r="I34" s="524">
        <f>IF(Var_Neo_InfB_Cont_MedKeuze_1&gt;0,INDEX(Tbl_Neo_MedIV,NeoBerInfB!B25,6),"")</f>
        <v>0</v>
      </c>
      <c r="J34" s="531"/>
      <c r="K34" s="532">
        <f>INDEX(Tbl_Neo_MedIV,NeoBerInfB!B25,2)</f>
        <v>0</v>
      </c>
      <c r="L34" s="532"/>
      <c r="M34" s="533"/>
      <c r="N34" s="534" t="str">
        <f>IF(NeoBerInfB!G25&gt;0,IF(NeoBerInfB!AF25*10&gt;1,NeoBerInfB!AE25&amp;" uren",NeoBerInfB!AE25&amp;" minuten"),"")</f>
        <v/>
      </c>
    </row>
    <row r="35" spans="1:14" ht="15.95" customHeight="1" x14ac:dyDescent="0.2">
      <c r="A35" s="520">
        <v>4</v>
      </c>
      <c r="B35" s="528"/>
      <c r="C35" s="529" t="str">
        <f>IF(NeoBerInfB!C26&gt;0,NeoBerInfB!C26/10&amp;" mg","")</f>
        <v/>
      </c>
      <c r="D35" s="529" t="str">
        <f>IF(NeoBerInfB!D26&gt;0,"in "&amp;NeoBerInfB!D26&amp;" ml","")</f>
        <v/>
      </c>
      <c r="E35" s="528"/>
      <c r="F35" s="528"/>
      <c r="G35" s="530" t="str">
        <f>IF(NeoBerInfB!F26/10&gt;0,NeoBerInfB!F26/10&amp;" ml/uur","")</f>
        <v/>
      </c>
      <c r="H35" s="524" t="str">
        <f>IF(AND(NeoBerInfB!G26&gt;0),ROUND(NeoBerInfB!G26,2),"")</f>
        <v/>
      </c>
      <c r="I35" s="524">
        <f>IF(Var_Neo_InfB_Cont_MedKeuze_1&gt;0,INDEX(Tbl_Neo_MedIV,NeoBerInfB!B26,6),"")</f>
        <v>0</v>
      </c>
      <c r="J35" s="531"/>
      <c r="K35" s="532">
        <f>INDEX(Tbl_Neo_MedIV,NeoBerInfB!B26,2)</f>
        <v>0</v>
      </c>
      <c r="L35" s="532"/>
      <c r="M35" s="533"/>
      <c r="N35" s="534" t="str">
        <f>IF(NeoBerInfB!G26&gt;0,IF(NeoBerInfB!AF26*10&gt;1,NeoBerInfB!AE26&amp;" uren",NeoBerInfB!AE26&amp;" minuten"),"")</f>
        <v/>
      </c>
    </row>
    <row r="36" spans="1:14" ht="15.95" customHeight="1" x14ac:dyDescent="0.2">
      <c r="A36" s="520">
        <v>5</v>
      </c>
      <c r="B36" s="528"/>
      <c r="C36" s="529" t="str">
        <f>IF(NeoBerInfB!C27&gt;0,NeoBerInfB!C27/10&amp;" mg","")</f>
        <v/>
      </c>
      <c r="D36" s="529" t="str">
        <f>IF(NeoBerInfB!D27&gt;0,"in "&amp;NeoBerInfB!D27&amp;" ml","")</f>
        <v/>
      </c>
      <c r="E36" s="528"/>
      <c r="F36" s="528"/>
      <c r="G36" s="530" t="str">
        <f>IF(NeoBerInfB!F27/10&gt;0,NeoBerInfB!F27/10&amp;" ml/uur","")</f>
        <v/>
      </c>
      <c r="H36" s="524" t="str">
        <f>IF(AND(NeoBerInfB!G27&gt;0),ROUND(NeoBerInfB!G27,2),"")</f>
        <v/>
      </c>
      <c r="I36" s="524">
        <f>IF(Var_Neo_InfB_Cont_MedKeuze_1&gt;0,INDEX(Tbl_Neo_MedIV,NeoBerInfB!B27,6),"")</f>
        <v>0</v>
      </c>
      <c r="J36" s="531"/>
      <c r="K36" s="532">
        <f>INDEX(Tbl_Neo_MedIV,NeoBerInfB!B27,2)</f>
        <v>0</v>
      </c>
      <c r="L36" s="532"/>
      <c r="M36" s="533"/>
      <c r="N36" s="534" t="str">
        <f>IF(NeoBerInfB!G27&gt;0,IF(NeoBerInfB!AF27*10&gt;1,NeoBerInfB!AE27&amp;" uren",NeoBerInfB!AE27&amp;" minuten"),"")</f>
        <v/>
      </c>
    </row>
    <row r="37" spans="1:14" ht="15.95" customHeight="1" x14ac:dyDescent="0.2">
      <c r="A37" s="520">
        <v>6</v>
      </c>
      <c r="B37" s="528"/>
      <c r="C37" s="529" t="str">
        <f>IF(NeoBerInfB!C28&gt;0,NeoBerInfB!C28/10&amp;" mg","")</f>
        <v/>
      </c>
      <c r="D37" s="529" t="str">
        <f>IF(NeoBerInfB!D28&gt;0,"in "&amp;NeoBerInfB!D28&amp;" ml","")</f>
        <v/>
      </c>
      <c r="E37" s="528"/>
      <c r="F37" s="528"/>
      <c r="G37" s="530" t="str">
        <f>IF(NeoBerInfB!F28/10&gt;0,NeoBerInfB!F28/10&amp;" ml/uur","")</f>
        <v/>
      </c>
      <c r="H37" s="524" t="str">
        <f>IF(AND(NeoBerInfB!G28&gt;0),ROUND(NeoBerInfB!G28,2),"")</f>
        <v/>
      </c>
      <c r="I37" s="524">
        <f>IF(Var_Neo_InfB_Cont_MedKeuze_1&gt;0,INDEX(Tbl_Neo_MedIV,NeoBerInfB!B28,6),"")</f>
        <v>0</v>
      </c>
      <c r="J37" s="531"/>
      <c r="K37" s="532">
        <f>INDEX(Tbl_Neo_MedIV,NeoBerInfB!B28,2)</f>
        <v>0</v>
      </c>
      <c r="L37" s="532"/>
      <c r="M37" s="533"/>
      <c r="N37" s="534" t="str">
        <f>IF(NeoBerInfB!G28&gt;0,IF(NeoBerInfB!AF28*10&gt;1,NeoBerInfB!AE28&amp;" uren",NeoBerInfB!AE28&amp;" minuten"),"")</f>
        <v/>
      </c>
    </row>
    <row r="38" spans="1:14" ht="15.95" customHeight="1" x14ac:dyDescent="0.2">
      <c r="A38" s="520">
        <v>7</v>
      </c>
      <c r="B38" s="528"/>
      <c r="C38" s="529" t="str">
        <f>IF(NeoBerInfB!C29&gt;0,NeoBerInfB!C29/10&amp;" mg","")</f>
        <v/>
      </c>
      <c r="D38" s="529" t="str">
        <f>IF(NeoBerInfB!D29&gt;0,"in "&amp;NeoBerInfB!D29&amp;" ml","")</f>
        <v/>
      </c>
      <c r="E38" s="528"/>
      <c r="F38" s="528"/>
      <c r="G38" s="530" t="str">
        <f>IF(NeoBerInfB!F29/10&gt;0,NeoBerInfB!F29/10&amp;" ml/uur","")</f>
        <v/>
      </c>
      <c r="H38" s="524" t="str">
        <f>IF(AND(NeoBerInfB!G29&gt;0),ROUND(NeoBerInfB!G29,2),"")</f>
        <v/>
      </c>
      <c r="I38" s="524">
        <f>IF(Var_Neo_InfB_Cont_MedKeuze_1&gt;0,INDEX(Tbl_Neo_MedIV,NeoBerInfB!B29,6),"")</f>
        <v>0</v>
      </c>
      <c r="J38" s="531"/>
      <c r="K38" s="532">
        <f>INDEX(Tbl_Neo_MedIV,NeoBerInfB!B29,2)</f>
        <v>0</v>
      </c>
      <c r="L38" s="532"/>
      <c r="M38" s="533"/>
      <c r="N38" s="534" t="str">
        <f>IF(NeoBerInfB!G29&gt;0,IF(NeoBerInfB!AF29*10&gt;1,NeoBerInfB!AE29&amp;" uren",NeoBerInfB!AE29&amp;" minuten"),"")</f>
        <v/>
      </c>
    </row>
    <row r="39" spans="1:14" ht="15.95" customHeight="1" x14ac:dyDescent="0.2">
      <c r="A39" s="520">
        <v>8</v>
      </c>
      <c r="B39" s="528"/>
      <c r="C39" s="529" t="str">
        <f>IF(NeoBerInfB!C30&gt;0,NeoBerInfB!C30/10&amp;" mg","")</f>
        <v/>
      </c>
      <c r="D39" s="529" t="str">
        <f>IF(NeoBerInfB!D30&gt;0,"in "&amp;NeoBerInfB!D30&amp;" ml","")</f>
        <v/>
      </c>
      <c r="E39" s="528"/>
      <c r="F39" s="528"/>
      <c r="G39" s="530" t="str">
        <f>IF(NeoBerInfB!F30/10&gt;0,NeoBerInfB!F30/10&amp;" ml/uur","")</f>
        <v/>
      </c>
      <c r="H39" s="524" t="str">
        <f>IF(AND(NeoBerInfB!G30&gt;0),ROUND(NeoBerInfB!G30,2),"")</f>
        <v/>
      </c>
      <c r="I39" s="524">
        <f>IF(Var_Neo_InfB_Cont_MedKeuze_1&gt;0,INDEX(Tbl_Neo_MedIV,NeoBerInfB!B30,6),"")</f>
        <v>0</v>
      </c>
      <c r="J39" s="531"/>
      <c r="K39" s="532">
        <f>INDEX(Tbl_Neo_MedIV,NeoBerInfB!B30,2)</f>
        <v>0</v>
      </c>
      <c r="L39" s="532"/>
      <c r="M39" s="533"/>
      <c r="N39" s="534" t="str">
        <f>IF(NeoBerInfB!G30&gt;0,IF(NeoBerInfB!AF30*10&gt;1,NeoBerInfB!AE30&amp;" uren",NeoBerInfB!AE30&amp;" minuten"),"")</f>
        <v/>
      </c>
    </row>
    <row r="40" spans="1:14" ht="15.95" customHeight="1" x14ac:dyDescent="0.2">
      <c r="A40" s="520">
        <v>9</v>
      </c>
      <c r="B40" s="528"/>
      <c r="C40" s="529" t="str">
        <f>IF(NeoBerInfB!C31&gt;0,NeoBerInfB!C31/10&amp;" mg","")</f>
        <v/>
      </c>
      <c r="D40" s="529" t="str">
        <f>IF(NeoBerInfB!D31&gt;0,"in "&amp;NeoBerInfB!D31&amp;" ml","")</f>
        <v/>
      </c>
      <c r="E40" s="528"/>
      <c r="F40" s="523"/>
      <c r="G40" s="525" t="str">
        <f>IF(NeoBerInfB!F31/10&gt;0,NeoBerInfB!F31/10&amp;" ml/uur","")</f>
        <v/>
      </c>
      <c r="H40" s="524" t="str">
        <f>IF(AND(NeoBerInfB!G31&gt;0),ROUND(NeoBerInfB!G31,2),"")</f>
        <v/>
      </c>
      <c r="I40" s="524">
        <f>IF(Var_Neo_InfB_Cont_MedKeuze_1&gt;0,INDEX(Tbl_Neo_MedIV,NeoBerInfB!B31,6),"")</f>
        <v>0</v>
      </c>
      <c r="J40" s="303"/>
      <c r="K40" s="532">
        <f>INDEX(Tbl_Neo_MedIV,NeoBerInfB!B31,2)</f>
        <v>0</v>
      </c>
      <c r="L40" s="532"/>
      <c r="M40" s="533"/>
      <c r="N40" s="534" t="str">
        <f>IF(NeoBerInfB!G31&gt;0,IF(NeoBerInfB!AF31*10&gt;1,NeoBerInfB!AE31&amp;" uren",NeoBerInfB!AE31&amp;" minuten"),"")</f>
        <v/>
      </c>
    </row>
    <row r="41" spans="1:14" ht="9.75" customHeight="1" x14ac:dyDescent="0.2">
      <c r="A41" s="520"/>
      <c r="B41" s="535"/>
      <c r="C41" s="536"/>
      <c r="D41" s="536"/>
      <c r="E41" s="535"/>
      <c r="F41" s="213"/>
      <c r="G41" s="521"/>
      <c r="H41" s="536"/>
      <c r="I41" s="213"/>
      <c r="J41" s="213"/>
      <c r="K41" s="537"/>
      <c r="L41" s="537"/>
      <c r="M41" s="538"/>
      <c r="N41" s="539"/>
    </row>
    <row r="42" spans="1:14" ht="15.95" customHeight="1" x14ac:dyDescent="0.2">
      <c r="A42" s="520">
        <v>10</v>
      </c>
      <c r="B42" s="540" t="s">
        <v>552</v>
      </c>
      <c r="C42" s="524"/>
      <c r="D42" s="524"/>
      <c r="E42" s="524"/>
      <c r="F42" s="524"/>
      <c r="G42" s="525" t="str">
        <f>IF(NeoBerInfB!F32/10&gt;0,NeoBerInfB!F32/10&amp;" ml/uur","")</f>
        <v>0.2 ml/uur</v>
      </c>
      <c r="H42" s="242" t="str">
        <f>IF(NeoBerInfB!G35&gt;0,"= "&amp;ROUND(NeoBerInfB!G35,2),"")</f>
        <v/>
      </c>
      <c r="I42" s="242"/>
      <c r="J42" s="213"/>
      <c r="K42" s="514"/>
      <c r="L42" s="514"/>
      <c r="M42" s="541"/>
      <c r="N42" s="521"/>
    </row>
    <row r="43" spans="1:14" ht="15.95" customHeight="1" x14ac:dyDescent="0.2">
      <c r="A43" s="520">
        <v>11</v>
      </c>
      <c r="B43" s="540" t="s">
        <v>553</v>
      </c>
      <c r="C43" s="524"/>
      <c r="D43" s="524"/>
      <c r="E43" s="524"/>
      <c r="F43" s="524"/>
      <c r="G43" s="525" t="str">
        <f>IF(NeoBerInfB!F33/10&gt;0,NeoBerInfB!F33/10&amp;" ml/uur","")</f>
        <v>0.3 ml/uur</v>
      </c>
      <c r="H43" s="242" t="str">
        <f>IF(NeoBerInfB!G36&gt;0,"= "&amp;ROUND(NeoBerInfB!G36,2),"")</f>
        <v/>
      </c>
      <c r="I43" s="242"/>
      <c r="J43" s="213"/>
      <c r="K43" s="514"/>
      <c r="L43" s="514"/>
      <c r="M43" s="541"/>
      <c r="N43" s="521"/>
    </row>
    <row r="44" spans="1:14" ht="15.95" customHeight="1" x14ac:dyDescent="0.2">
      <c r="A44" s="520">
        <v>12</v>
      </c>
      <c r="B44" s="540" t="s">
        <v>554</v>
      </c>
      <c r="C44" s="524"/>
      <c r="D44" s="524"/>
      <c r="E44" s="524"/>
      <c r="F44" s="524"/>
      <c r="G44" s="525" t="str">
        <f>IF(NeoBerInfB!F34/10&gt;0,NeoBerInfB!F34/10&amp;" ml/uur","")</f>
        <v>0.2 ml/uur</v>
      </c>
      <c r="H44" s="242" t="str">
        <f>IF(NeoBerInfB!G38&gt;0,"= "&amp;ROUND(NeoBerInfB!G38,2),"")</f>
        <v/>
      </c>
      <c r="I44" s="242"/>
      <c r="J44" s="213"/>
      <c r="K44" s="514"/>
      <c r="L44" s="514"/>
      <c r="M44" s="541"/>
      <c r="N44" s="521"/>
    </row>
    <row r="45" spans="1:14" ht="15.95" customHeight="1" x14ac:dyDescent="0.2">
      <c r="A45" s="520">
        <v>13</v>
      </c>
      <c r="B45" s="530" t="str">
        <f>IF(Var_Neo_InfB_Cont_MedTekst_1="","",Var_Neo_InfB_Cont_MedTekst_1)</f>
        <v/>
      </c>
      <c r="C45" s="529"/>
      <c r="D45" s="529"/>
      <c r="E45" s="529"/>
      <c r="F45" s="529"/>
      <c r="G45" s="529"/>
      <c r="H45" s="524"/>
      <c r="I45" s="524"/>
      <c r="J45" s="213"/>
      <c r="K45" s="514"/>
      <c r="L45" s="514"/>
      <c r="M45" s="541"/>
      <c r="N45" s="521"/>
    </row>
    <row r="46" spans="1:14" ht="15.95" customHeight="1" x14ac:dyDescent="0.2">
      <c r="A46" s="520">
        <v>14</v>
      </c>
      <c r="B46" s="521" t="str">
        <f>IF(Var_Neo_InfB_Cont_MedTekst_2="","",Var_Neo_InfB_Cont_MedTekst_2)</f>
        <v/>
      </c>
      <c r="C46" s="242"/>
      <c r="D46" s="242"/>
      <c r="E46" s="242"/>
      <c r="F46" s="242"/>
      <c r="G46" s="242"/>
      <c r="H46" s="242"/>
      <c r="I46" s="242"/>
      <c r="J46" s="213"/>
      <c r="K46" s="514"/>
      <c r="L46" s="514"/>
      <c r="M46" s="541"/>
      <c r="N46" s="521"/>
    </row>
    <row r="47" spans="1:14" ht="15.95" customHeight="1" x14ac:dyDescent="0.2">
      <c r="D47" s="252"/>
      <c r="K47" s="542" t="s">
        <v>539</v>
      </c>
      <c r="L47" s="542"/>
    </row>
    <row r="48" spans="1:14" ht="15.95" customHeight="1" x14ac:dyDescent="0.2">
      <c r="B48" s="509"/>
      <c r="C48" s="510"/>
      <c r="D48" s="543"/>
      <c r="E48" s="544" t="str">
        <f ca="1">IF(NeoBerInfB!C39&gt;0,NeoBerInfB!C39&amp;" ml","")</f>
        <v>1 ml</v>
      </c>
      <c r="F48" s="252" t="e">
        <f ca="1">IF(E48&lt;&gt;"",ROUND(NeoBerInfB!C39/(_Pat_Gewicht/10),0)&amp;" ml/ kg","")</f>
        <v>#DIV/0!</v>
      </c>
      <c r="K48" s="513" t="str">
        <f ca="1">IF(NeoBerInfB!B39&gt;0,NeoBerInfB!B39&amp;" ml","")</f>
        <v/>
      </c>
      <c r="L48" s="513"/>
      <c r="M48" s="303"/>
    </row>
    <row r="49" spans="1:13" ht="12" customHeight="1" x14ac:dyDescent="0.2">
      <c r="B49" s="321"/>
      <c r="C49" s="213"/>
      <c r="D49" s="242"/>
      <c r="E49" s="521"/>
    </row>
    <row r="50" spans="1:13" ht="15.75" customHeight="1" x14ac:dyDescent="0.2">
      <c r="B50" s="545"/>
    </row>
    <row r="51" spans="1:13" ht="15.95" customHeight="1" x14ac:dyDescent="0.2">
      <c r="B51" s="326" t="s">
        <v>556</v>
      </c>
    </row>
    <row r="52" spans="1:13" ht="15.75" customHeight="1" x14ac:dyDescent="0.2">
      <c r="B52" s="546" t="s">
        <v>328</v>
      </c>
      <c r="C52" s="303"/>
      <c r="D52" s="303"/>
      <c r="E52" s="527" t="str">
        <f ca="1">IF(NeoBerInfB!$D$40=1,NeoBerInfB!C41&amp;" ml","")</f>
        <v>3 ml</v>
      </c>
      <c r="F52" s="303"/>
      <c r="G52" s="303"/>
      <c r="H52" s="303"/>
      <c r="I52" s="527" t="str">
        <f>IF(NeoBerInfB!$D$40=3,NeoBerInfB!C41&amp;" ml","")</f>
        <v/>
      </c>
      <c r="J52" s="303"/>
      <c r="K52" s="513" t="str">
        <f ca="1">IF(NeoBerInfB!B41&gt;0,NeoBerInfB!B41&amp;" ml","")</f>
        <v/>
      </c>
      <c r="L52" s="513"/>
      <c r="M52" s="303"/>
    </row>
    <row r="53" spans="1:13" ht="15.95" customHeight="1" x14ac:dyDescent="0.2">
      <c r="B53" s="547" t="s">
        <v>557</v>
      </c>
      <c r="C53" s="531"/>
      <c r="D53" s="531"/>
      <c r="E53" s="534" t="str">
        <f ca="1">IF(NeoBerInfB!$D$40=1,NeoBerInfB!C42&amp;" ml","")</f>
        <v>1 ml</v>
      </c>
      <c r="F53" s="531"/>
      <c r="G53" s="531"/>
      <c r="H53" s="531"/>
      <c r="I53" s="534" t="str">
        <f>IF(NeoBerInfB!$D$40=3,NeoBerInfB!C42&amp;" ml","")</f>
        <v/>
      </c>
      <c r="J53" s="531"/>
      <c r="K53" s="532" t="str">
        <f ca="1">IF(NeoBerInfB!B42&gt;0,NeoBerInfB!B42&amp;" ml","")</f>
        <v/>
      </c>
      <c r="L53" s="532"/>
      <c r="M53" s="532"/>
    </row>
    <row r="54" spans="1:13" ht="15.95" customHeight="1" x14ac:dyDescent="0.2">
      <c r="B54" s="547" t="s">
        <v>558</v>
      </c>
      <c r="C54" s="531"/>
      <c r="D54" s="531"/>
      <c r="E54" s="534" t="str">
        <f ca="1">IF(NeoBerInfB!$D$40=1,NeoBerInfB!C43&amp;" ml","")</f>
        <v>1 ml</v>
      </c>
      <c r="F54" s="531"/>
      <c r="G54" s="531"/>
      <c r="H54" s="531"/>
      <c r="I54" s="531"/>
      <c r="J54" s="531"/>
      <c r="K54" s="532" t="str">
        <f ca="1">IF(NeoBerInfB!B43&gt;0,NeoBerInfB!B43&amp;" ml","")</f>
        <v/>
      </c>
      <c r="L54" s="532"/>
      <c r="M54" s="532"/>
    </row>
    <row r="55" spans="1:13" ht="15.95" customHeight="1" x14ac:dyDescent="0.2">
      <c r="B55" s="547" t="s">
        <v>559</v>
      </c>
      <c r="C55" s="531"/>
      <c r="D55" s="531"/>
      <c r="E55" s="534" t="str">
        <f ca="1">IF(NeoBerInfB!$D$40=1,NeoBerInfB!C44&amp;" ml","")</f>
        <v>1 ml</v>
      </c>
      <c r="F55" s="531"/>
      <c r="G55" s="531"/>
      <c r="H55" s="531"/>
      <c r="I55" s="531"/>
      <c r="J55" s="531"/>
      <c r="K55" s="532" t="str">
        <f ca="1">IF(NeoBerInfB!B44&gt;0,NeoBerInfB!B44&amp;" ml","")</f>
        <v/>
      </c>
      <c r="L55" s="532"/>
      <c r="M55" s="532"/>
    </row>
    <row r="56" spans="1:13" ht="15.95" customHeight="1" x14ac:dyDescent="0.2">
      <c r="B56" s="547" t="s">
        <v>194</v>
      </c>
      <c r="C56" s="531"/>
      <c r="D56" s="531"/>
      <c r="E56" s="534" t="str">
        <f ca="1">IF(NeoBerInfB!$D$40=1,NeoBerInfB!C45&amp;" ml","")</f>
        <v>1 ml</v>
      </c>
      <c r="F56" s="531"/>
      <c r="G56" s="531"/>
      <c r="H56" s="531"/>
      <c r="I56" s="531"/>
      <c r="J56" s="531"/>
      <c r="K56" s="532" t="str">
        <f ca="1">IF(NeoBerInfB!B45&gt;0,NeoBerInfB!B45&amp;" ml","")</f>
        <v/>
      </c>
      <c r="L56" s="532"/>
      <c r="M56" s="532"/>
    </row>
    <row r="57" spans="1:13" ht="15.95" customHeight="1" x14ac:dyDescent="0.2">
      <c r="B57" s="547" t="s">
        <v>514</v>
      </c>
      <c r="C57" s="531"/>
      <c r="D57" s="531"/>
      <c r="E57" s="534" t="str">
        <f ca="1">IF(NeoBerInfB!$D$40=1,NeoBerInfB!C46&amp;" ml","")</f>
        <v>1 ml</v>
      </c>
      <c r="F57" s="531"/>
      <c r="G57" s="531"/>
      <c r="H57" s="531"/>
      <c r="I57" s="531"/>
      <c r="J57" s="531"/>
      <c r="K57" s="532" t="str">
        <f ca="1">IF(NeoBerInfB!B46&gt;0,NeoBerInfB!B46&amp;" ml","")</f>
        <v/>
      </c>
      <c r="L57" s="532"/>
      <c r="M57" s="532"/>
    </row>
    <row r="58" spans="1:13" ht="15.95" customHeight="1" x14ac:dyDescent="0.2">
      <c r="B58" s="547" t="s">
        <v>515</v>
      </c>
      <c r="C58" s="531"/>
      <c r="D58" s="531"/>
      <c r="E58" s="531"/>
      <c r="F58" s="531"/>
      <c r="G58" s="534" t="str">
        <f>IF(NeoBerInfB!D40=2,NeoBerInfB!C47&amp;" ml","")</f>
        <v/>
      </c>
      <c r="H58" s="548" t="str">
        <f>IF(G58&lt;&gt;"","("&amp;ROUND(NeoBerInfB!C47/(_Pat_Gewicht/10),0)&amp;" ml/kg)","")</f>
        <v/>
      </c>
      <c r="I58" s="531"/>
      <c r="J58" s="531"/>
      <c r="K58" s="532" t="str">
        <f ca="1">IF(NeoBerInfB!B47&gt;0,NeoBerInfB!B47&amp;" ml","")</f>
        <v/>
      </c>
      <c r="L58" s="532"/>
      <c r="M58" s="532"/>
    </row>
    <row r="59" spans="1:13" ht="15.95" customHeight="1" x14ac:dyDescent="0.2">
      <c r="B59" s="547" t="s">
        <v>326</v>
      </c>
      <c r="C59" s="531"/>
      <c r="D59" s="531"/>
      <c r="E59" s="531"/>
      <c r="F59" s="531"/>
      <c r="G59" s="531"/>
      <c r="H59" s="531"/>
      <c r="I59" s="534" t="str">
        <f>IF(NeoBerInfB!$D$40=3,NeoBerInfB!C48&amp;" ml","")</f>
        <v/>
      </c>
      <c r="J59" s="548" t="str">
        <f>IF(I59&lt;&gt;"","("&amp;ROUND(NeoBerInfB!C48/(_Pat_Gewicht/10),0)&amp;" ml/kg)","")</f>
        <v/>
      </c>
      <c r="K59" s="532" t="str">
        <f ca="1">IF(NeoBerInfB!B48&gt;0,NeoBerInfB!B48&amp;" ml","")</f>
        <v/>
      </c>
      <c r="L59" s="532"/>
      <c r="M59" s="532"/>
    </row>
    <row r="60" spans="1:13" ht="20.100000000000001" customHeight="1" x14ac:dyDescent="0.2">
      <c r="B60" s="531"/>
      <c r="C60" s="531"/>
      <c r="D60" s="531"/>
      <c r="E60" s="549">
        <f ca="1">IF(NeoBerInfB!D40=1,NeoBerInfB!R49,"")</f>
        <v>-83.8</v>
      </c>
      <c r="F60" s="531" t="str">
        <f ca="1">IF(E60&lt;&gt;"","ml","")</f>
        <v>ml</v>
      </c>
      <c r="G60" s="549" t="str">
        <f>IF(NeoBerInfB!D40=2,NeoBerInfB!R49,"")</f>
        <v/>
      </c>
      <c r="H60" s="531" t="str">
        <f>IF(G60&lt;&gt;"","ml","")</f>
        <v/>
      </c>
      <c r="I60" s="549" t="str">
        <f>IF(NeoBerInfB!D40=3,NeoBerInfB!R49,"")</f>
        <v/>
      </c>
      <c r="J60" s="531" t="str">
        <f>IF(I60&lt;&gt;"","ml","")</f>
        <v/>
      </c>
      <c r="K60" s="532"/>
      <c r="L60" s="532"/>
      <c r="M60" s="532"/>
    </row>
    <row r="63" spans="1:13" ht="15.95" customHeight="1" x14ac:dyDescent="0.2">
      <c r="B63" s="510"/>
      <c r="C63" s="510"/>
      <c r="D63" s="510"/>
      <c r="E63" s="510"/>
      <c r="F63" s="510"/>
      <c r="G63" s="510"/>
      <c r="H63" s="510"/>
      <c r="I63" s="510"/>
      <c r="J63" s="510"/>
      <c r="K63" s="213"/>
      <c r="L63" s="213"/>
      <c r="M63" s="213"/>
    </row>
    <row r="64" spans="1:13" ht="15.95" customHeight="1" x14ac:dyDescent="0.2">
      <c r="A64" s="550"/>
      <c r="B64" s="551" t="s">
        <v>115</v>
      </c>
      <c r="C64" s="552"/>
      <c r="D64" s="552"/>
      <c r="E64" s="552"/>
      <c r="F64" s="552"/>
      <c r="G64" s="552"/>
      <c r="H64" s="552"/>
      <c r="I64" s="552"/>
      <c r="J64" s="552"/>
      <c r="K64" s="213"/>
      <c r="L64" s="213"/>
      <c r="M64" s="213"/>
    </row>
    <row r="65" spans="1:10" ht="12.75" x14ac:dyDescent="0.2">
      <c r="A65" s="553"/>
      <c r="B65" s="553"/>
      <c r="C65" s="504" t="s">
        <v>371</v>
      </c>
      <c r="D65" s="50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504"/>
      <c r="F65" s="504"/>
      <c r="G65" s="504"/>
      <c r="H65" s="504"/>
      <c r="I65" s="504"/>
      <c r="J65" s="504"/>
    </row>
    <row r="66" spans="1:10" s="555" customFormat="1" ht="12.75" x14ac:dyDescent="0.2">
      <c r="A66" s="554"/>
      <c r="B66" s="554"/>
      <c r="C66" s="504" t="s">
        <v>685</v>
      </c>
      <c r="D66" s="50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504"/>
      <c r="F66" s="504"/>
      <c r="G66" s="504"/>
      <c r="H66" s="504"/>
      <c r="I66" s="504"/>
      <c r="J66" s="504"/>
    </row>
    <row r="67" spans="1:10" s="555" customFormat="1" ht="12.75" x14ac:dyDescent="0.2">
      <c r="A67" s="554"/>
      <c r="B67" s="554"/>
      <c r="C67" s="504" t="s">
        <v>686</v>
      </c>
      <c r="D67" s="50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504"/>
      <c r="F67" s="504"/>
      <c r="G67" s="504"/>
      <c r="H67" s="504"/>
      <c r="I67" s="504"/>
      <c r="J67" s="504"/>
    </row>
    <row r="68" spans="1:10" s="555" customFormat="1" ht="12.75" x14ac:dyDescent="0.2">
      <c r="A68" s="554"/>
      <c r="B68" s="554"/>
      <c r="C68" s="504" t="s">
        <v>687</v>
      </c>
      <c r="D68" s="50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504"/>
      <c r="F68" s="504"/>
      <c r="G68" s="504"/>
      <c r="H68" s="504"/>
      <c r="I68" s="504"/>
      <c r="J68" s="504"/>
    </row>
    <row r="69" spans="1:10" s="555" customFormat="1" ht="12.75" x14ac:dyDescent="0.2">
      <c r="A69" s="554"/>
      <c r="B69" s="554"/>
      <c r="C69" s="504" t="s">
        <v>146</v>
      </c>
      <c r="D69" s="50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504"/>
      <c r="F69" s="504"/>
      <c r="G69" s="504"/>
      <c r="H69" s="504"/>
      <c r="I69" s="504"/>
      <c r="J69" s="504"/>
    </row>
    <row r="70" spans="1:10" s="555" customFormat="1" ht="12.75" x14ac:dyDescent="0.2">
      <c r="A70" s="554"/>
      <c r="B70" s="554"/>
      <c r="C70" s="504" t="s">
        <v>688</v>
      </c>
      <c r="D70" s="50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504"/>
      <c r="F70" s="504"/>
      <c r="G70" s="504"/>
      <c r="H70" s="504"/>
      <c r="I70" s="504"/>
      <c r="J70" s="504"/>
    </row>
    <row r="71" spans="1:10" s="555" customFormat="1" ht="12.75" x14ac:dyDescent="0.2">
      <c r="A71" s="554"/>
      <c r="B71" s="554"/>
      <c r="C71" s="504" t="s">
        <v>1000</v>
      </c>
      <c r="D71" s="50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504"/>
      <c r="F71" s="504"/>
      <c r="G71" s="504"/>
      <c r="H71" s="504"/>
      <c r="I71" s="504"/>
      <c r="J71" s="504"/>
    </row>
    <row r="72" spans="1:10" s="555" customFormat="1" ht="12.75" x14ac:dyDescent="0.2">
      <c r="A72" s="554"/>
      <c r="B72" s="554"/>
      <c r="C72" s="504" t="s">
        <v>1002</v>
      </c>
      <c r="D72" s="50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504"/>
      <c r="F72" s="504"/>
      <c r="G72" s="504"/>
      <c r="H72" s="504"/>
      <c r="I72" s="504"/>
      <c r="J72" s="504"/>
    </row>
    <row r="73" spans="1:10" s="555" customFormat="1" ht="12.75" x14ac:dyDescent="0.2">
      <c r="A73" s="554"/>
      <c r="B73" s="554"/>
      <c r="C73" s="504" t="s">
        <v>1001</v>
      </c>
      <c r="D73" s="50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504"/>
      <c r="F73" s="504"/>
      <c r="G73" s="504"/>
      <c r="H73" s="504"/>
      <c r="I73" s="504"/>
      <c r="J73" s="504"/>
    </row>
    <row r="74" spans="1:10" ht="15.95" customHeight="1" x14ac:dyDescent="0.2">
      <c r="A74" s="553"/>
      <c r="B74" s="553"/>
      <c r="C74" s="504" t="s">
        <v>285</v>
      </c>
      <c r="D74" s="943" t="str">
        <f>IF(_Neo_Lab_Opm=0,"",_Neo_Lab_Opm)</f>
        <v/>
      </c>
      <c r="E74" s="943"/>
      <c r="F74" s="943"/>
      <c r="G74" s="943"/>
      <c r="H74" s="943"/>
      <c r="I74" s="943"/>
      <c r="J74" s="943"/>
    </row>
    <row r="75" spans="1:10" ht="15.95" customHeight="1" x14ac:dyDescent="0.2">
      <c r="A75" s="552"/>
      <c r="B75" s="552"/>
      <c r="C75" s="556"/>
      <c r="D75" s="944"/>
      <c r="E75" s="944"/>
      <c r="F75" s="944"/>
      <c r="G75" s="944"/>
      <c r="H75" s="944"/>
      <c r="I75" s="944"/>
      <c r="J75" s="944"/>
    </row>
  </sheetData>
  <sheetProtection password="CC20" sheet="1" objects="1" scenarios="1"/>
  <mergeCells count="2">
    <mergeCell ref="K3:N6"/>
    <mergeCell ref="D74:J7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IF(NeoBerInfB!B23&gt;1,IF(AND(H32&lt;&gt;"",H32&gt;=INDEX(Tbl_Neo_MedIV,NeoBerInfB!B23,9)),TRUE,FALSE),FALSE)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IF(AND(C32&lt;&gt;0,G32&lt;&gt;""),IF(AND(H32&gt;=INDEX(Tbl_Neo_MedIV,NeoBerInfB!$B23,7),H32&lt;=INDEX(Tbl_Neo_MedIV,NeoBerInfB!$B23,8)),TRUE,FALSE),TRUE)=FALSE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AP77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2" sqref="A2"/>
    </sheetView>
  </sheetViews>
  <sheetFormatPr defaultColWidth="9.140625" defaultRowHeight="12.75" x14ac:dyDescent="0.2"/>
  <cols>
    <col min="1" max="1" width="24.85546875" style="154" customWidth="1"/>
    <col min="2" max="8" width="8.42578125" style="154" customWidth="1"/>
    <col min="9" max="9" width="9" style="154" customWidth="1"/>
    <col min="10" max="10" width="12" style="455" customWidth="1"/>
    <col min="11" max="11" width="11.5703125" style="455" customWidth="1"/>
    <col min="12" max="12" width="9" style="455" customWidth="1"/>
    <col min="13" max="13" width="19.5703125" style="455" customWidth="1"/>
    <col min="14" max="14" width="10" style="455" customWidth="1"/>
    <col min="15" max="15" width="14.140625" style="455" customWidth="1"/>
    <col min="16" max="16" width="20.28515625" style="455" customWidth="1"/>
    <col min="17" max="17" width="8.42578125" style="455" customWidth="1"/>
    <col min="18" max="18" width="8.28515625" style="154" customWidth="1"/>
    <col min="19" max="29" width="8.140625" style="154" customWidth="1"/>
    <col min="30" max="30" width="8.140625" style="455" customWidth="1"/>
    <col min="31" max="32" width="9" style="154" customWidth="1"/>
    <col min="33" max="33" width="6" style="154" customWidth="1"/>
    <col min="34" max="34" width="77.5703125" style="154" customWidth="1"/>
    <col min="35" max="35" width="13.42578125" style="154" customWidth="1"/>
    <col min="36" max="36" width="9.140625" style="154"/>
    <col min="37" max="37" width="14.28515625" style="154" customWidth="1"/>
    <col min="38" max="38" width="19.28515625" style="154" customWidth="1"/>
    <col min="39" max="39" width="12.42578125" style="154" customWidth="1"/>
    <col min="40" max="16384" width="9.140625" style="154"/>
  </cols>
  <sheetData>
    <row r="1" spans="1:36" s="455" customFormat="1" x14ac:dyDescent="0.2">
      <c r="A1" s="455" t="s">
        <v>5363</v>
      </c>
      <c r="J1" s="843">
        <v>1</v>
      </c>
      <c r="K1" s="843">
        <v>2</v>
      </c>
      <c r="L1" s="843"/>
      <c r="M1" s="843"/>
      <c r="N1" s="843"/>
      <c r="O1" s="843">
        <v>3</v>
      </c>
      <c r="P1" s="154">
        <v>11</v>
      </c>
      <c r="Q1" s="154"/>
      <c r="S1" s="843">
        <v>6</v>
      </c>
      <c r="T1" s="843">
        <v>7</v>
      </c>
      <c r="U1" s="843">
        <v>8</v>
      </c>
      <c r="V1" s="843">
        <v>10</v>
      </c>
      <c r="W1" s="843">
        <v>9</v>
      </c>
      <c r="X1" s="843">
        <v>3</v>
      </c>
      <c r="Y1" s="843">
        <v>4</v>
      </c>
      <c r="Z1" s="843">
        <v>5</v>
      </c>
      <c r="AA1" s="843">
        <v>2</v>
      </c>
      <c r="AB1" s="843">
        <v>13</v>
      </c>
      <c r="AC1" s="843">
        <v>12</v>
      </c>
      <c r="AD1" s="843">
        <v>11</v>
      </c>
    </row>
    <row r="2" spans="1:36" s="841" customFormat="1" ht="25.5" x14ac:dyDescent="0.2">
      <c r="A2" s="971" t="s">
        <v>28</v>
      </c>
      <c r="B2" s="841" t="s">
        <v>234</v>
      </c>
      <c r="C2" s="841" t="s">
        <v>5085</v>
      </c>
      <c r="D2" s="841" t="s">
        <v>4110</v>
      </c>
      <c r="E2" s="841" t="s">
        <v>5068</v>
      </c>
      <c r="F2" s="841" t="s">
        <v>5367</v>
      </c>
      <c r="G2" s="841" t="s">
        <v>1013</v>
      </c>
      <c r="H2" s="841" t="s">
        <v>5369</v>
      </c>
      <c r="I2" s="841" t="s">
        <v>497</v>
      </c>
      <c r="J2" s="841" t="s">
        <v>324</v>
      </c>
      <c r="K2" s="841" t="s">
        <v>199</v>
      </c>
      <c r="L2" s="841" t="s">
        <v>4110</v>
      </c>
      <c r="M2" s="841" t="s">
        <v>5368</v>
      </c>
      <c r="N2" s="841" t="s">
        <v>5361</v>
      </c>
      <c r="O2" s="841" t="s">
        <v>5364</v>
      </c>
      <c r="P2" s="841" t="s">
        <v>539</v>
      </c>
      <c r="Q2" s="841" t="s">
        <v>369</v>
      </c>
      <c r="R2" s="841" t="s">
        <v>304</v>
      </c>
      <c r="S2" s="841" t="s">
        <v>222</v>
      </c>
      <c r="T2" s="841" t="s">
        <v>223</v>
      </c>
      <c r="U2" s="841" t="s">
        <v>224</v>
      </c>
      <c r="V2" s="841" t="s">
        <v>225</v>
      </c>
      <c r="W2" s="841" t="s">
        <v>520</v>
      </c>
      <c r="X2" s="841" t="s">
        <v>221</v>
      </c>
      <c r="Y2" s="841" t="s">
        <v>521</v>
      </c>
      <c r="Z2" s="841" t="s">
        <v>522</v>
      </c>
      <c r="AA2" s="841" t="s">
        <v>523</v>
      </c>
      <c r="AB2" s="841" t="s">
        <v>574</v>
      </c>
      <c r="AC2" s="841" t="s">
        <v>532</v>
      </c>
      <c r="AD2" s="841" t="s">
        <v>859</v>
      </c>
      <c r="AE2" s="841" t="s">
        <v>551</v>
      </c>
      <c r="AF2" s="841" t="s">
        <v>590</v>
      </c>
      <c r="AH2" s="841" t="s">
        <v>5371</v>
      </c>
    </row>
    <row r="3" spans="1:36" s="455" customFormat="1" x14ac:dyDescent="0.2">
      <c r="A3" s="351" t="s">
        <v>4581</v>
      </c>
      <c r="B3" s="455" t="s">
        <v>4706</v>
      </c>
    </row>
    <row r="4" spans="1:36" x14ac:dyDescent="0.2">
      <c r="A4" s="351" t="s">
        <v>591</v>
      </c>
      <c r="B4" s="305">
        <f ca="1">TODAY()-__4_GebDatum+1</f>
        <v>41290</v>
      </c>
      <c r="C4" s="154">
        <f ca="1">IF(B4&lt;7,B4,6)</f>
        <v>6</v>
      </c>
    </row>
    <row r="5" spans="1:36" x14ac:dyDescent="0.2">
      <c r="S5" s="387"/>
      <c r="T5" s="387"/>
      <c r="U5" s="387"/>
      <c r="V5" s="387"/>
      <c r="W5" s="387"/>
      <c r="X5" s="387"/>
      <c r="Y5" s="387"/>
      <c r="Z5" s="387"/>
      <c r="AA5" s="387"/>
      <c r="AB5" s="387"/>
      <c r="AC5" s="387"/>
      <c r="AD5" s="387"/>
    </row>
    <row r="6" spans="1:36" x14ac:dyDescent="0.2">
      <c r="A6" s="154" t="s">
        <v>542</v>
      </c>
      <c r="B6" s="154">
        <v>1</v>
      </c>
      <c r="AH6" s="154" t="str">
        <f>CONCATENATE(A6,": ",IF(B6=1,"Ja","Nee"))</f>
        <v>Fototherapie: Ja</v>
      </c>
    </row>
    <row r="7" spans="1:36" x14ac:dyDescent="0.2">
      <c r="A7" s="154" t="s">
        <v>592</v>
      </c>
      <c r="B7" s="154">
        <f ca="1">IF(AND(_Pat_GestWeken&lt;37,(_Pat_Gewicht/10)&gt;=1),INDEX(NeoBerAdvies!B3:G3,1,C4),IF((_Pat_Gewicht/10)&lt;1,INDEX(NeoBerAdvies!B4:G4,1,C4),INDEX(NeoBerAdvies!B5:G5,1,C4)))+IF(B6=1,20,0)</f>
        <v>180</v>
      </c>
      <c r="C7" s="154">
        <f ca="1">ROUND(B7/5,0)*5+(D7-5000)</f>
        <v>195</v>
      </c>
      <c r="D7" s="154">
        <v>5015</v>
      </c>
      <c r="AH7" s="154" t="str">
        <f ca="1">IF(AND(_Pat_Gewicht&gt;0,R53&gt;0),CONCATENATE(R53/(_Pat_Gewicht/10)," ","ml/kg/dag"," ","(= ",R53," ml/dag)"),"")</f>
        <v/>
      </c>
    </row>
    <row r="8" spans="1:36" s="455" customFormat="1" x14ac:dyDescent="0.2">
      <c r="AH8" s="154"/>
      <c r="AI8" s="154"/>
      <c r="AJ8" s="154"/>
    </row>
    <row r="9" spans="1:36" s="455" customFormat="1" x14ac:dyDescent="0.2">
      <c r="A9" s="154" t="s">
        <v>277</v>
      </c>
      <c r="B9" s="154">
        <v>2</v>
      </c>
      <c r="C9" s="154">
        <v>20</v>
      </c>
      <c r="F9" s="154">
        <v>4</v>
      </c>
      <c r="I9" s="154">
        <v>2</v>
      </c>
      <c r="L9" s="455" t="str">
        <f>IF($B9&gt;1,(C9/10)&amp;" ml","")</f>
        <v>2 ml</v>
      </c>
      <c r="M9" s="455" t="str">
        <f>IF($B9&gt;1,INDEX(Tbl_Neo_Voed,$B9,1),"")</f>
        <v>MM</v>
      </c>
      <c r="R9" s="154">
        <f>IF(AND(Var_Neo_InfB_Cont_VochtExtra_01=2,Var_Neo_InfB_Ent_Voeding&gt;1),(F9*C9+F10*C10)/10,0)</f>
        <v>10</v>
      </c>
      <c r="S9" s="387">
        <f>INDEX(Tbl_Neo_Voed,$B9,S$1)*$R9</f>
        <v>8.6956000000000006E-2</v>
      </c>
      <c r="T9" s="387">
        <f>INDEX(Tbl_Neo_Voed,$B9,T$1)*$R9</f>
        <v>0.12820500000000001</v>
      </c>
      <c r="U9" s="387">
        <f>INDEX(Tbl_Neo_Voed,$B9,U$1)*$R9</f>
        <v>7.4700000000000003E-2</v>
      </c>
      <c r="V9" s="387">
        <f>INDEX(Tbl_Neo_Voed,$B9,V$1)*$R9</f>
        <v>1.23423E-2</v>
      </c>
      <c r="W9" s="387">
        <f>INDEX(Tbl_Neo_Voed,$B9,W$1)*$R9</f>
        <v>4.8433499999999997E-2</v>
      </c>
      <c r="X9" s="387">
        <f>INDEX(Tbl_Neo_Voed,$B9,X$1)*$R9</f>
        <v>0.1</v>
      </c>
      <c r="Y9" s="387">
        <f>INDEX(Tbl_Neo_Voed,$B9,Y$1)*$R9</f>
        <v>0.70000000000000007</v>
      </c>
      <c r="Z9" s="387">
        <f>INDEX(Tbl_Neo_Voed,$B9,Z$1)*$R9</f>
        <v>0.4</v>
      </c>
      <c r="AA9" s="387">
        <f>INDEX(Tbl_Neo_Voed,$B9,AA$1)*$R9</f>
        <v>6.8000000000000007</v>
      </c>
      <c r="AB9" s="387">
        <f>INDEX(Tbl_Neo_Voed,$B9,AB$1)*$R9</f>
        <v>0.1212858</v>
      </c>
      <c r="AC9" s="387">
        <f>INDEX(Tbl_Neo_Voed,$B9,AC$1)*$R9</f>
        <v>0</v>
      </c>
      <c r="AD9" s="387">
        <f>INDEX(Tbl_Neo_Voed,$B9,AD$1)*$R9</f>
        <v>1.7899999999999999E-4</v>
      </c>
      <c r="AH9" s="388" t="str">
        <f>IF(M9="","",CONCATENATE(M9," ",IF(F9&gt;0,F9&amp;" x "&amp;L9,""), IF(F10&gt;0," en "&amp;F10&amp;" x "&amp;L10,"")," ","(= ",R9," ml)"))</f>
        <v>MM 4 x 2 ml en 2 x 1 ml (= 10 ml)</v>
      </c>
      <c r="AI9" s="154"/>
      <c r="AJ9" s="154"/>
    </row>
    <row r="10" spans="1:36" s="455" customFormat="1" x14ac:dyDescent="0.2">
      <c r="C10" s="154">
        <v>10</v>
      </c>
      <c r="F10" s="154">
        <v>2</v>
      </c>
      <c r="L10" s="455" t="str">
        <f>IF($B9&gt;1,(C10/10)&amp;" ml","")</f>
        <v>1 ml</v>
      </c>
      <c r="AH10" s="154"/>
      <c r="AI10" s="154"/>
      <c r="AJ10" s="154"/>
    </row>
    <row r="11" spans="1:36" s="455" customFormat="1" x14ac:dyDescent="0.2">
      <c r="A11" s="154" t="s">
        <v>858</v>
      </c>
      <c r="B11" s="154">
        <v>2</v>
      </c>
      <c r="C11" s="154"/>
      <c r="D11" s="154"/>
      <c r="E11" s="154"/>
      <c r="F11" s="154">
        <v>2</v>
      </c>
      <c r="G11" s="154">
        <f>(H11/100)*$R$9</f>
        <v>0.22000000000000003</v>
      </c>
      <c r="H11" s="436">
        <f>INDEX(tbl_Neo_NutrBMFWaard,F11)</f>
        <v>2.2000000000000002</v>
      </c>
      <c r="K11" s="455" t="str">
        <f>IF(H11&gt;0,H11&amp;" %","")</f>
        <v>2.2 %</v>
      </c>
      <c r="L11" s="455" t="str">
        <f>IF($B11&gt;1,ROUND(G11,2)&amp;" gram","")</f>
        <v>0.22 gram</v>
      </c>
      <c r="M11" s="455" t="str">
        <f>IF(B11&gt;1,INDEX(Tbl_Neo_PoedMM,$B11,1),"")</f>
        <v>Nutrilon Nenatal BMF</v>
      </c>
      <c r="S11" s="387">
        <f>INDEX(Tbl_Neo_PoedMM,$B11,S$1)*$G11</f>
        <v>7.6808234800000014E-2</v>
      </c>
      <c r="T11" s="387">
        <f>INDEX(Tbl_Neo_PoedMM,$B11,T$1)*$G11</f>
        <v>2.9784585600000003E-2</v>
      </c>
      <c r="U11" s="387">
        <f>INDEX(Tbl_Neo_PoedMM,$B11,U$1)*$G11</f>
        <v>8.1676979999999996E-2</v>
      </c>
      <c r="V11" s="387">
        <f>INDEX(Tbl_Neo_PoedMM,$B11,V$1)*$G11</f>
        <v>1.0408673E-2</v>
      </c>
      <c r="W11" s="387">
        <f>INDEX(Tbl_Neo_PoedMM,$B11,W$1)*$G11</f>
        <v>6.1943217600000003E-2</v>
      </c>
      <c r="X11" s="387">
        <f>INDEX(Tbl_Neo_PoedMM,$B11,X$1)*$G11</f>
        <v>5.544000000000001E-2</v>
      </c>
      <c r="Y11" s="387">
        <f>INDEX(Tbl_Neo_PoedMM,$B11,Y$1)*$G11</f>
        <v>0.13684000000000002</v>
      </c>
      <c r="Z11" s="387">
        <f>INDEX(Tbl_Neo_PoedMM,$B11,Z$1)*$G11</f>
        <v>0</v>
      </c>
      <c r="AA11" s="387">
        <f>INDEX(Tbl_Neo_PoedMM,$B11,AA$1)*$G11</f>
        <v>0.76340000000000019</v>
      </c>
      <c r="AB11" s="387">
        <f>INDEX(Tbl_Neo_PoedMM,$B11,AB$1)*$G11</f>
        <v>3.5556483600000001E-2</v>
      </c>
      <c r="AC11" s="387">
        <f>INDEX(Tbl_Neo_PoedMM,$B11,AC$1)*$G11</f>
        <v>10.120000000000001</v>
      </c>
      <c r="AD11" s="387">
        <f>INDEX(Tbl_Neo_PoedMM,$B11,AD$1)*$G11</f>
        <v>0</v>
      </c>
      <c r="AH11" s="388" t="str">
        <f>IF(K11="","", CONCATENATE(M11," ",K11," = (",L11,")"))</f>
        <v>Nutrilon Nenatal BMF 2.2 % = (0.22 gram)</v>
      </c>
      <c r="AI11" s="154"/>
      <c r="AJ11" s="154"/>
    </row>
    <row r="12" spans="1:36" s="455" customFormat="1" x14ac:dyDescent="0.2">
      <c r="A12" s="154" t="s">
        <v>849</v>
      </c>
      <c r="B12" s="154">
        <v>3</v>
      </c>
      <c r="C12" s="154"/>
      <c r="D12" s="154"/>
      <c r="E12" s="154"/>
      <c r="F12" s="154">
        <v>3</v>
      </c>
      <c r="G12" s="455">
        <f>(H12/100)*$R$9</f>
        <v>0.1</v>
      </c>
      <c r="H12" s="436">
        <f>INDEX(tbl_Neo_NutrToevWaard,F12)</f>
        <v>1</v>
      </c>
      <c r="K12" s="455" t="str">
        <f t="shared" ref="K12:K19" si="0">IF(H12&gt;0,H12&amp;" %","")</f>
        <v>1 %</v>
      </c>
      <c r="L12" s="455" t="str">
        <f>IF($B12&gt;1,ROUND(G12,2)&amp;" gram","")</f>
        <v>0.1 gram</v>
      </c>
      <c r="M12" s="455" t="str">
        <f>IF(B12&gt;1,INDEX(Tbl_Neo_PoedMM,$B12,1),"")</f>
        <v>Fantomalt</v>
      </c>
      <c r="S12" s="387">
        <f>INDEX(Tbl_Neo_PoedMM,$B12,S$1)*$G12</f>
        <v>8.6956000000000012E-5</v>
      </c>
      <c r="T12" s="387">
        <f>INDEX(Tbl_Neo_PoedMM,$B12,T$1)*$G12</f>
        <v>0</v>
      </c>
      <c r="U12" s="387">
        <f>INDEX(Tbl_Neo_PoedMM,$B12,U$1)*$G12</f>
        <v>0</v>
      </c>
      <c r="V12" s="387">
        <f>INDEX(Tbl_Neo_PoedMM,$B12,V$1)*$G12</f>
        <v>0</v>
      </c>
      <c r="W12" s="387">
        <f>INDEX(Tbl_Neo_PoedMM,$B12,W$1)*$G12</f>
        <v>0</v>
      </c>
      <c r="X12" s="387">
        <f>INDEX(Tbl_Neo_PoedMM,$B12,X$1)*$G12</f>
        <v>0</v>
      </c>
      <c r="Y12" s="387">
        <f>INDEX(Tbl_Neo_PoedMM,$B12,Y$1)*$G12</f>
        <v>9.6000000000000002E-2</v>
      </c>
      <c r="Z12" s="387">
        <f>INDEX(Tbl_Neo_PoedMM,$B12,Z$1)*$G12</f>
        <v>0</v>
      </c>
      <c r="AA12" s="387">
        <f>INDEX(Tbl_Neo_PoedMM,$B12,AA$1)*$G12</f>
        <v>0.38400000000000001</v>
      </c>
      <c r="AB12" s="387">
        <f>INDEX(Tbl_Neo_PoedMM,$B12,AB$1)*$G12</f>
        <v>0</v>
      </c>
      <c r="AC12" s="387">
        <f>INDEX(Tbl_Neo_PoedMM,$B12,AC$1)*$G12</f>
        <v>0</v>
      </c>
      <c r="AD12" s="387">
        <f>INDEX(Tbl_Neo_PoedMM,$B12,AD$1)*$G12</f>
        <v>0</v>
      </c>
      <c r="AH12" s="455" t="str">
        <f t="shared" ref="AH12:AH19" si="1">IF(K12="","", CONCATENATE(M12," ",K12," = (",L12,")"))</f>
        <v>Fantomalt 1 % = (0.1 gram)</v>
      </c>
      <c r="AI12" s="154"/>
      <c r="AJ12" s="154"/>
    </row>
    <row r="13" spans="1:36" s="455" customFormat="1" x14ac:dyDescent="0.2">
      <c r="A13" s="154" t="s">
        <v>850</v>
      </c>
      <c r="B13" s="154">
        <v>1</v>
      </c>
      <c r="C13" s="385"/>
      <c r="D13" s="154"/>
      <c r="E13" s="154"/>
      <c r="F13" s="154">
        <v>1</v>
      </c>
      <c r="G13" s="455">
        <f>(H13/100)*$R$9</f>
        <v>0</v>
      </c>
      <c r="H13" s="436">
        <f>INDEX(tbl_Neo_NutrToevWaard,F13)</f>
        <v>0</v>
      </c>
      <c r="K13" s="455" t="str">
        <f t="shared" si="0"/>
        <v/>
      </c>
      <c r="L13" s="455" t="str">
        <f>IF($B13&gt;1,ROUND(G13,2)&amp;" gram","")</f>
        <v/>
      </c>
      <c r="M13" s="455" t="str">
        <f>IF(B13&gt;1,INDEX(Tbl_Neo_PoedMM,$B13,1),"")</f>
        <v/>
      </c>
      <c r="S13" s="387">
        <f>INDEX(Tbl_Neo_PoedMM,$B13,S$1)*$G13</f>
        <v>0</v>
      </c>
      <c r="T13" s="387">
        <f>INDEX(Tbl_Neo_PoedMM,$B13,T$1)*$G13</f>
        <v>0</v>
      </c>
      <c r="U13" s="387">
        <f>INDEX(Tbl_Neo_PoedMM,$B13,U$1)*$G13</f>
        <v>0</v>
      </c>
      <c r="V13" s="387">
        <f>INDEX(Tbl_Neo_PoedMM,$B13,V$1)*$G13</f>
        <v>0</v>
      </c>
      <c r="W13" s="387">
        <f>INDEX(Tbl_Neo_PoedMM,$B13,W$1)*$G13</f>
        <v>0</v>
      </c>
      <c r="X13" s="387">
        <f>INDEX(Tbl_Neo_PoedMM,$B13,X$1)*$G13</f>
        <v>0</v>
      </c>
      <c r="Y13" s="387">
        <f>INDEX(Tbl_Neo_PoedMM,$B13,Y$1)*$G13</f>
        <v>0</v>
      </c>
      <c r="Z13" s="387">
        <f>INDEX(Tbl_Neo_PoedMM,$B13,Z$1)*$G13</f>
        <v>0</v>
      </c>
      <c r="AA13" s="387">
        <f>INDEX(Tbl_Neo_PoedMM,$B13,AA$1)*$G13</f>
        <v>0</v>
      </c>
      <c r="AB13" s="387">
        <f>INDEX(Tbl_Neo_PoedMM,$B13,AB$1)*$G13</f>
        <v>0</v>
      </c>
      <c r="AC13" s="387">
        <f>INDEX(Tbl_Neo_PoedMM,$B13,AC$1)*$G13</f>
        <v>0</v>
      </c>
      <c r="AD13" s="387">
        <f>INDEX(Tbl_Neo_PoedMM,$B13,AD$1)*$G13</f>
        <v>0</v>
      </c>
      <c r="AH13" s="455" t="str">
        <f t="shared" si="1"/>
        <v/>
      </c>
      <c r="AI13" s="154"/>
      <c r="AJ13" s="154"/>
    </row>
    <row r="14" spans="1:36" s="455" customFormat="1" x14ac:dyDescent="0.2">
      <c r="A14" s="154" t="s">
        <v>851</v>
      </c>
      <c r="B14" s="154">
        <v>1</v>
      </c>
      <c r="C14" s="385"/>
      <c r="D14" s="154"/>
      <c r="E14" s="154"/>
      <c r="F14" s="154">
        <v>1</v>
      </c>
      <c r="G14" s="455">
        <f>(H14/100)*$R$9</f>
        <v>0</v>
      </c>
      <c r="H14" s="436">
        <f>INDEX(tbl_Neo_NutrToevWaard,F14)</f>
        <v>0</v>
      </c>
      <c r="K14" s="455" t="str">
        <f t="shared" si="0"/>
        <v/>
      </c>
      <c r="L14" s="455" t="str">
        <f>IF($B14&gt;1,ROUND(G14,2)&amp;" gram","")</f>
        <v/>
      </c>
      <c r="M14" s="455" t="str">
        <f>IF(B14&gt;1,INDEX(Tbl_Neo_PoedMM,$B14,1),"")</f>
        <v/>
      </c>
      <c r="S14" s="387">
        <f>INDEX(Tbl_Neo_PoedMM,$B14,S$1)*$G14</f>
        <v>0</v>
      </c>
      <c r="T14" s="387">
        <f>INDEX(Tbl_Neo_PoedMM,$B14,T$1)*$G14</f>
        <v>0</v>
      </c>
      <c r="U14" s="387">
        <f>INDEX(Tbl_Neo_PoedMM,$B14,U$1)*$G14</f>
        <v>0</v>
      </c>
      <c r="V14" s="387">
        <f>INDEX(Tbl_Neo_PoedMM,$B14,V$1)*$G14</f>
        <v>0</v>
      </c>
      <c r="W14" s="387">
        <f>INDEX(Tbl_Neo_PoedMM,$B14,W$1)*$G14</f>
        <v>0</v>
      </c>
      <c r="X14" s="387">
        <f>INDEX(Tbl_Neo_PoedMM,$B14,X$1)*$G14</f>
        <v>0</v>
      </c>
      <c r="Y14" s="387">
        <f>INDEX(Tbl_Neo_PoedMM,$B14,Y$1)*$G14</f>
        <v>0</v>
      </c>
      <c r="Z14" s="387">
        <f>INDEX(Tbl_Neo_PoedMM,$B14,Z$1)*$G14</f>
        <v>0</v>
      </c>
      <c r="AA14" s="387">
        <f>INDEX(Tbl_Neo_PoedMM,$B14,AA$1)*$G14</f>
        <v>0</v>
      </c>
      <c r="AB14" s="387">
        <f>INDEX(Tbl_Neo_PoedMM,$B14,AB$1)*$G14</f>
        <v>0</v>
      </c>
      <c r="AC14" s="387">
        <f>INDEX(Tbl_Neo_PoedMM,$B14,AC$1)*$G14</f>
        <v>0</v>
      </c>
      <c r="AD14" s="387">
        <f>INDEX(Tbl_Neo_PoedMM,$B14,AD$1)*$G14</f>
        <v>0</v>
      </c>
      <c r="AH14" s="455" t="str">
        <f t="shared" si="1"/>
        <v/>
      </c>
      <c r="AI14" s="154"/>
      <c r="AJ14" s="154"/>
    </row>
    <row r="15" spans="1:36" s="455" customFormat="1" x14ac:dyDescent="0.2">
      <c r="A15" s="154" t="s">
        <v>852</v>
      </c>
      <c r="B15" s="154">
        <v>1</v>
      </c>
      <c r="C15" s="385"/>
      <c r="D15" s="154"/>
      <c r="E15" s="154"/>
      <c r="F15" s="154">
        <v>1</v>
      </c>
      <c r="G15" s="455">
        <f>(H15/100)*$R$9</f>
        <v>0</v>
      </c>
      <c r="H15" s="436">
        <f>INDEX(tbl_Neo_NutrToevWaard,F15)</f>
        <v>0</v>
      </c>
      <c r="K15" s="455" t="str">
        <f t="shared" si="0"/>
        <v/>
      </c>
      <c r="L15" s="455" t="str">
        <f>IF($B15&gt;1,ROUND(G15,2)&amp;" gram","")</f>
        <v/>
      </c>
      <c r="M15" s="455" t="str">
        <f>IF(B15&gt;1,INDEX(Tbl_Neo_PoedMM,$B15,1),"")</f>
        <v/>
      </c>
      <c r="S15" s="387">
        <f>INDEX(Tbl_Neo_PoedMM,$B15,S$1)*$G15</f>
        <v>0</v>
      </c>
      <c r="T15" s="387">
        <f>INDEX(Tbl_Neo_PoedMM,$B15,T$1)*$G15</f>
        <v>0</v>
      </c>
      <c r="U15" s="387">
        <f>INDEX(Tbl_Neo_PoedMM,$B15,U$1)*$G15</f>
        <v>0</v>
      </c>
      <c r="V15" s="387">
        <f>INDEX(Tbl_Neo_PoedMM,$B15,V$1)*$G15</f>
        <v>0</v>
      </c>
      <c r="W15" s="387">
        <f>INDEX(Tbl_Neo_PoedMM,$B15,W$1)*$G15</f>
        <v>0</v>
      </c>
      <c r="X15" s="387">
        <f>INDEX(Tbl_Neo_PoedMM,$B15,X$1)*$G15</f>
        <v>0</v>
      </c>
      <c r="Y15" s="387">
        <f>INDEX(Tbl_Neo_PoedMM,$B15,Y$1)*$G15</f>
        <v>0</v>
      </c>
      <c r="Z15" s="387">
        <f>INDEX(Tbl_Neo_PoedMM,$B15,Z$1)*$G15</f>
        <v>0</v>
      </c>
      <c r="AA15" s="387">
        <f>INDEX(Tbl_Neo_PoedMM,$B15,AA$1)*$G15</f>
        <v>0</v>
      </c>
      <c r="AB15" s="387">
        <f>INDEX(Tbl_Neo_PoedMM,$B15,AB$1)*$G15</f>
        <v>0</v>
      </c>
      <c r="AC15" s="387">
        <f>INDEX(Tbl_Neo_PoedMM,$B15,AC$1)*$G15</f>
        <v>0</v>
      </c>
      <c r="AD15" s="387">
        <f>INDEX(Tbl_Neo_PoedMM,$B15,AD$1)*$G15</f>
        <v>0</v>
      </c>
      <c r="AH15" s="455" t="str">
        <f t="shared" si="1"/>
        <v/>
      </c>
      <c r="AI15" s="154"/>
      <c r="AJ15" s="154"/>
    </row>
    <row r="16" spans="1:36" s="455" customFormat="1" x14ac:dyDescent="0.2">
      <c r="A16" s="154" t="s">
        <v>853</v>
      </c>
      <c r="B16" s="154">
        <v>2</v>
      </c>
      <c r="C16" s="385"/>
      <c r="D16" s="154"/>
      <c r="E16" s="154"/>
      <c r="F16" s="154">
        <v>3</v>
      </c>
      <c r="G16" s="455">
        <f>(H16/100)*$R$9</f>
        <v>0.1</v>
      </c>
      <c r="H16" s="436">
        <f>INDEX(tbl_Neo_NutrToevWaard,F16)</f>
        <v>1</v>
      </c>
      <c r="K16" s="455" t="str">
        <f t="shared" si="0"/>
        <v>1 %</v>
      </c>
      <c r="L16" s="455" t="str">
        <f>IF($B16&gt;1,ROUND(G16,2)&amp;" gram","")</f>
        <v>0.1 gram</v>
      </c>
      <c r="M16" s="455" t="str">
        <f>IF(B16&gt;1,INDEX(Tbl_Neo_PoedMM,$B16,1),"")</f>
        <v>Nutrilon Nenatal BMF</v>
      </c>
      <c r="S16" s="387">
        <f>INDEX(Tbl_Neo_PoedMM,$B16,S$1)*$G16</f>
        <v>3.4912834000000004E-2</v>
      </c>
      <c r="T16" s="387">
        <f>INDEX(Tbl_Neo_PoedMM,$B16,T$1)*$G16</f>
        <v>1.3538448000000002E-2</v>
      </c>
      <c r="U16" s="387">
        <f>INDEX(Tbl_Neo_PoedMM,$B16,U$1)*$G16</f>
        <v>3.7125899999999996E-2</v>
      </c>
      <c r="V16" s="387">
        <f>INDEX(Tbl_Neo_PoedMM,$B16,V$1)*$G16</f>
        <v>4.7312150000000004E-3</v>
      </c>
      <c r="W16" s="387">
        <f>INDEX(Tbl_Neo_PoedMM,$B16,W$1)*$G16</f>
        <v>2.8156008E-2</v>
      </c>
      <c r="X16" s="387">
        <f>INDEX(Tbl_Neo_PoedMM,$B16,X$1)*$G16</f>
        <v>2.52E-2</v>
      </c>
      <c r="Y16" s="387">
        <f>INDEX(Tbl_Neo_PoedMM,$B16,Y$1)*$G16</f>
        <v>6.2200000000000005E-2</v>
      </c>
      <c r="Z16" s="387">
        <f>INDEX(Tbl_Neo_PoedMM,$B16,Z$1)*$G16</f>
        <v>0</v>
      </c>
      <c r="AA16" s="387">
        <f>INDEX(Tbl_Neo_PoedMM,$B16,AA$1)*$G16</f>
        <v>0.34700000000000003</v>
      </c>
      <c r="AB16" s="387">
        <f>INDEX(Tbl_Neo_PoedMM,$B16,AB$1)*$G16</f>
        <v>1.6162038E-2</v>
      </c>
      <c r="AC16" s="387">
        <f>INDEX(Tbl_Neo_PoedMM,$B16,AC$1)*$G16</f>
        <v>4.6000000000000005</v>
      </c>
      <c r="AD16" s="387">
        <f>INDEX(Tbl_Neo_PoedMM,$B16,AD$1)*$G16</f>
        <v>0</v>
      </c>
      <c r="AH16" s="455" t="str">
        <f t="shared" si="1"/>
        <v>Nutrilon Nenatal BMF 1 % = (0.1 gram)</v>
      </c>
      <c r="AI16" s="154"/>
      <c r="AJ16" s="154"/>
    </row>
    <row r="17" spans="1:36" s="455" customFormat="1" x14ac:dyDescent="0.2">
      <c r="A17" s="154" t="s">
        <v>854</v>
      </c>
      <c r="B17" s="154">
        <v>1</v>
      </c>
      <c r="C17" s="385"/>
      <c r="D17" s="154"/>
      <c r="E17" s="154"/>
      <c r="F17" s="154">
        <v>1</v>
      </c>
      <c r="G17" s="455">
        <f>(H17/100)*$R$9</f>
        <v>0</v>
      </c>
      <c r="H17" s="436">
        <f>INDEX(tbl_Neo_NutrToevWaard,F17)</f>
        <v>0</v>
      </c>
      <c r="K17" s="455" t="str">
        <f t="shared" si="0"/>
        <v/>
      </c>
      <c r="L17" s="455" t="str">
        <f>IF($B17&gt;1,ROUND(G17,2)&amp;" gram","")</f>
        <v/>
      </c>
      <c r="M17" s="455" t="str">
        <f>IF(B17&gt;1,INDEX(Tbl_Neo_PoedMM,$B17,1),"")</f>
        <v/>
      </c>
      <c r="S17" s="387">
        <f>INDEX(Tbl_Neo_PoedMM,$B17,S$1)*$G17</f>
        <v>0</v>
      </c>
      <c r="T17" s="387">
        <f>INDEX(Tbl_Neo_PoedMM,$B17,T$1)*$G17</f>
        <v>0</v>
      </c>
      <c r="U17" s="387">
        <f>INDEX(Tbl_Neo_PoedMM,$B17,U$1)*$G17</f>
        <v>0</v>
      </c>
      <c r="V17" s="387">
        <f>INDEX(Tbl_Neo_PoedMM,$B17,V$1)*$G17</f>
        <v>0</v>
      </c>
      <c r="W17" s="387">
        <f>INDEX(Tbl_Neo_PoedMM,$B17,W$1)*$G17</f>
        <v>0</v>
      </c>
      <c r="X17" s="387">
        <f>INDEX(Tbl_Neo_PoedMM,$B17,X$1)*$G17</f>
        <v>0</v>
      </c>
      <c r="Y17" s="387">
        <f>INDEX(Tbl_Neo_PoedMM,$B17,Y$1)*$G17</f>
        <v>0</v>
      </c>
      <c r="Z17" s="387">
        <f>INDEX(Tbl_Neo_PoedMM,$B17,Z$1)*$G17</f>
        <v>0</v>
      </c>
      <c r="AA17" s="387">
        <f>INDEX(Tbl_Neo_PoedMM,$B17,AA$1)*$G17</f>
        <v>0</v>
      </c>
      <c r="AB17" s="387">
        <f>INDEX(Tbl_Neo_PoedMM,$B17,AB$1)*$G17</f>
        <v>0</v>
      </c>
      <c r="AC17" s="387">
        <f>INDEX(Tbl_Neo_PoedMM,$B17,AC$1)*$G17</f>
        <v>0</v>
      </c>
      <c r="AD17" s="387">
        <f>INDEX(Tbl_Neo_PoedMM,$B17,AD$1)*$G17</f>
        <v>0</v>
      </c>
      <c r="AH17" s="455" t="str">
        <f t="shared" si="1"/>
        <v/>
      </c>
      <c r="AI17" s="154"/>
      <c r="AJ17" s="154"/>
    </row>
    <row r="18" spans="1:36" s="455" customFormat="1" x14ac:dyDescent="0.2">
      <c r="A18" s="154" t="s">
        <v>855</v>
      </c>
      <c r="B18" s="154">
        <v>1</v>
      </c>
      <c r="C18" s="385"/>
      <c r="D18" s="154"/>
      <c r="E18" s="154"/>
      <c r="F18" s="154">
        <v>1</v>
      </c>
      <c r="G18" s="455">
        <f>(H18/100)*$R$9</f>
        <v>0</v>
      </c>
      <c r="H18" s="436">
        <f>INDEX(tbl_Neo_NutrToevWaard,F18)</f>
        <v>0</v>
      </c>
      <c r="K18" s="455" t="str">
        <f t="shared" si="0"/>
        <v/>
      </c>
      <c r="L18" s="455" t="str">
        <f>IF($B18&gt;1,ROUND(G18,2)&amp;" gram","")</f>
        <v/>
      </c>
      <c r="M18" s="455" t="str">
        <f>IF(B18&gt;1,INDEX(Tbl_Neo_PoedMM,$B18,1),"")</f>
        <v/>
      </c>
      <c r="S18" s="387">
        <f>INDEX(Tbl_Neo_PoedMM,$B18,S$1)*$G18</f>
        <v>0</v>
      </c>
      <c r="T18" s="387">
        <f>INDEX(Tbl_Neo_PoedMM,$B18,T$1)*$G18</f>
        <v>0</v>
      </c>
      <c r="U18" s="387">
        <f>INDEX(Tbl_Neo_PoedMM,$B18,U$1)*$G18</f>
        <v>0</v>
      </c>
      <c r="V18" s="387">
        <f>INDEX(Tbl_Neo_PoedMM,$B18,V$1)*$G18</f>
        <v>0</v>
      </c>
      <c r="W18" s="387">
        <f>INDEX(Tbl_Neo_PoedMM,$B18,W$1)*$G18</f>
        <v>0</v>
      </c>
      <c r="X18" s="387">
        <f>INDEX(Tbl_Neo_PoedMM,$B18,X$1)*$G18</f>
        <v>0</v>
      </c>
      <c r="Y18" s="387">
        <f>INDEX(Tbl_Neo_PoedMM,$B18,Y$1)*$G18</f>
        <v>0</v>
      </c>
      <c r="Z18" s="387">
        <f>INDEX(Tbl_Neo_PoedMM,$B18,Z$1)*$G18</f>
        <v>0</v>
      </c>
      <c r="AA18" s="387">
        <f>INDEX(Tbl_Neo_PoedMM,$B18,AA$1)*$G18</f>
        <v>0</v>
      </c>
      <c r="AB18" s="387">
        <f>INDEX(Tbl_Neo_PoedMM,$B18,AB$1)*$G18</f>
        <v>0</v>
      </c>
      <c r="AC18" s="387">
        <f>INDEX(Tbl_Neo_PoedMM,$B18,AC$1)*$G18</f>
        <v>0</v>
      </c>
      <c r="AD18" s="387">
        <f>INDEX(Tbl_Neo_PoedMM,$B18,AD$1)*$G18</f>
        <v>0</v>
      </c>
      <c r="AH18" s="455" t="str">
        <f t="shared" si="1"/>
        <v/>
      </c>
      <c r="AI18" s="154"/>
      <c r="AJ18" s="154"/>
    </row>
    <row r="19" spans="1:36" s="455" customFormat="1" x14ac:dyDescent="0.2">
      <c r="A19" s="154" t="s">
        <v>856</v>
      </c>
      <c r="B19" s="154">
        <v>1</v>
      </c>
      <c r="C19" s="385"/>
      <c r="D19" s="154"/>
      <c r="E19" s="154"/>
      <c r="F19" s="154">
        <v>1</v>
      </c>
      <c r="G19" s="455">
        <f>(H19/100)*$R$9</f>
        <v>0</v>
      </c>
      <c r="H19" s="436">
        <f>INDEX(tbl_Neo_NutrToevWaard,F19)</f>
        <v>0</v>
      </c>
      <c r="K19" s="455" t="str">
        <f t="shared" si="0"/>
        <v/>
      </c>
      <c r="L19" s="455" t="str">
        <f>IF($B19&gt;1,ROUND(G19,2)&amp;" gram","")</f>
        <v/>
      </c>
      <c r="M19" s="455" t="str">
        <f>IF(B19&gt;1,INDEX(Tbl_Neo_PoedMM,$B19,1),"")</f>
        <v/>
      </c>
      <c r="S19" s="387">
        <f>INDEX(Tbl_Neo_PoedMM,$B19,S$1)*$G19</f>
        <v>0</v>
      </c>
      <c r="T19" s="387">
        <f>INDEX(Tbl_Neo_PoedMM,$B19,T$1)*$G19</f>
        <v>0</v>
      </c>
      <c r="U19" s="387">
        <f>INDEX(Tbl_Neo_PoedMM,$B19,U$1)*$G19</f>
        <v>0</v>
      </c>
      <c r="V19" s="387">
        <f>INDEX(Tbl_Neo_PoedMM,$B19,V$1)*$G19</f>
        <v>0</v>
      </c>
      <c r="W19" s="387">
        <f>INDEX(Tbl_Neo_PoedMM,$B19,W$1)*$G19</f>
        <v>0</v>
      </c>
      <c r="X19" s="387">
        <f>INDEX(Tbl_Neo_PoedMM,$B19,X$1)*$G19</f>
        <v>0</v>
      </c>
      <c r="Y19" s="387">
        <f>INDEX(Tbl_Neo_PoedMM,$B19,Y$1)*$G19</f>
        <v>0</v>
      </c>
      <c r="Z19" s="387">
        <f>INDEX(Tbl_Neo_PoedMM,$B19,Z$1)*$G19</f>
        <v>0</v>
      </c>
      <c r="AA19" s="387">
        <f>INDEX(Tbl_Neo_PoedMM,$B19,AA$1)*$G19</f>
        <v>0</v>
      </c>
      <c r="AB19" s="387">
        <f>INDEX(Tbl_Neo_PoedMM,$B19,AB$1)*$G19</f>
        <v>0</v>
      </c>
      <c r="AC19" s="387">
        <f>INDEX(Tbl_Neo_PoedMM,$B19,AC$1)*$G19</f>
        <v>0</v>
      </c>
      <c r="AD19" s="387">
        <f>INDEX(Tbl_Neo_PoedMM,$B19,AD$1)*$G19</f>
        <v>0</v>
      </c>
      <c r="AH19" s="455" t="str">
        <f t="shared" si="1"/>
        <v/>
      </c>
      <c r="AI19" s="154"/>
      <c r="AJ19" s="154"/>
    </row>
    <row r="20" spans="1:36" s="455" customFormat="1" x14ac:dyDescent="0.2">
      <c r="AI20" s="154"/>
      <c r="AJ20" s="154"/>
    </row>
    <row r="21" spans="1:36" x14ac:dyDescent="0.2">
      <c r="A21" s="154" t="s">
        <v>593</v>
      </c>
      <c r="B21" s="154" t="b">
        <v>1</v>
      </c>
      <c r="C21" s="154">
        <f ca="1">ROUND(C7*(_Pat_Gewicht/10)-R9,0)</f>
        <v>-10</v>
      </c>
    </row>
    <row r="22" spans="1:36" x14ac:dyDescent="0.2">
      <c r="A22" s="154" t="s">
        <v>693</v>
      </c>
      <c r="B22" s="154">
        <v>10</v>
      </c>
      <c r="I22" s="154" t="b">
        <v>0</v>
      </c>
      <c r="J22" s="154"/>
      <c r="K22" s="154"/>
      <c r="L22" s="154"/>
      <c r="M22" s="154" t="s">
        <v>5366</v>
      </c>
      <c r="N22" s="154"/>
      <c r="O22" s="154"/>
      <c r="P22" s="154"/>
      <c r="Q22" s="154"/>
      <c r="R22" s="154">
        <f>IF(I22,0,B22*2.4)</f>
        <v>24</v>
      </c>
      <c r="S22" s="455">
        <f>IF($B22&gt;0,VLOOKUP($M22,Tbl_Glob_ParEnt,S$1,FALSE),0)*$R22</f>
        <v>1.8599999999999999</v>
      </c>
      <c r="T22" s="455">
        <f>IF($B22&gt;0,VLOOKUP($M22,Tbl_Glob_ParEnt,T$1,FALSE),0)*$R22</f>
        <v>0</v>
      </c>
      <c r="U22" s="455">
        <f>IF($B22&gt;0,VLOOKUP($M22,Tbl_Glob_ParEnt,U$1,FALSE),0)*$R22</f>
        <v>0</v>
      </c>
      <c r="V22" s="455">
        <f>IF($B22&gt;0,VLOOKUP($M22,Tbl_Glob_ParEnt,V$1,FALSE),0)*$R22</f>
        <v>0</v>
      </c>
      <c r="W22" s="455">
        <f>IF($B22&gt;0,VLOOKUP($M22,Tbl_Glob_ParEnt,W$1,FALSE),0)*$R22</f>
        <v>0</v>
      </c>
      <c r="X22" s="455">
        <f>IF($B22&gt;0,VLOOKUP($M22,Tbl_Glob_ParEnt,X$1,FALSE),0)*$R22</f>
        <v>0</v>
      </c>
      <c r="Y22" s="455">
        <f>IF($B22&gt;0,VLOOKUP($M22,Tbl_Glob_ParEnt,Y$1,FALSE),0)*$R22</f>
        <v>0</v>
      </c>
      <c r="Z22" s="455">
        <f>IF($B22&gt;0,VLOOKUP($M22,Tbl_Glob_ParEnt,Z$1,FALSE),0)*$R22</f>
        <v>0</v>
      </c>
      <c r="AA22" s="455">
        <f>IF($B22&gt;0,VLOOKUP($M22,Tbl_Glob_ParEnt,AA$1,FALSE),0)*$R22</f>
        <v>0</v>
      </c>
      <c r="AB22" s="455">
        <f>IF($B22&gt;0,VLOOKUP($M22,Tbl_Glob_ParEnt,AB$1,FALSE),0)*$R22</f>
        <v>1.8599999999999999</v>
      </c>
      <c r="AC22" s="455">
        <f>IF($B22&gt;0,VLOOKUP($M22,Tbl_Glob_ParEnt,AC$1,FALSE),0)*$R22</f>
        <v>0</v>
      </c>
      <c r="AD22" s="455">
        <f>IF($B22&gt;0,VLOOKUP($M22,Tbl_Glob_ParEnt,AD$1,FALSE),0)*$R22</f>
        <v>0</v>
      </c>
      <c r="AH22" s="154" t="str">
        <f>IF(B22&gt;0,CONCATENATE(A22," ",B22/10," ml/uur"),"")</f>
        <v>Arterielijn: 12 ml NaCl 0,45% + hep. (5EH/ml) 1 ml/uur</v>
      </c>
    </row>
    <row r="23" spans="1:36" x14ac:dyDescent="0.2">
      <c r="A23" s="154" t="s">
        <v>595</v>
      </c>
      <c r="B23" s="154">
        <v>8</v>
      </c>
      <c r="C23" s="154">
        <v>2000</v>
      </c>
      <c r="D23" s="154">
        <v>50</v>
      </c>
      <c r="E23" s="154">
        <v>3</v>
      </c>
      <c r="F23" s="154">
        <v>10</v>
      </c>
      <c r="G23" s="154">
        <f>IF(AND(_Pat_Gewicht&gt;0,D23&gt;0),ROUND( ((C23/10)/D23)*(F23/10)*H23/(_Pat_Gewicht/10),2),0)</f>
        <v>0</v>
      </c>
      <c r="H23" s="154">
        <f t="shared" ref="H23:H31" si="2">IF(B23&gt;1,INDEX(Tbl_Neo_MedIV,B23,12),1)</f>
        <v>16.666666666666668</v>
      </c>
      <c r="I23" s="154">
        <v>0</v>
      </c>
      <c r="J23" s="154" t="str">
        <f>IF($B23&gt;1,INDEX(Tbl_Neo_MedIV,$B23,J$1),"")</f>
        <v>dopamine</v>
      </c>
      <c r="K23" s="154" t="str">
        <f>IF($B23&gt;1,(C23/10)&amp;" "&amp;INDEX(Tbl_Neo_MedIV,$B23,K$1),"")</f>
        <v>200 mg</v>
      </c>
      <c r="L23" s="455" t="str">
        <f>IF($B23&gt;1,(D23)&amp;" ml","")</f>
        <v>50 ml</v>
      </c>
      <c r="M23" s="154" t="str">
        <f>IF(E23&gt;1,INDEX(Tbl_Neo_OplVlst,E23,1),"")</f>
        <v>glucose 10%</v>
      </c>
      <c r="N23" s="154" t="str">
        <f>IF(B23&gt;1,(F23/10)&amp;" ml/uur","")</f>
        <v>1 ml/uur</v>
      </c>
      <c r="O23" s="154" t="str">
        <f>IF(B23&gt;1,INDEX(Tbl_Neo_MedIV,B23,O$1),"")</f>
        <v>microg/kg/min</v>
      </c>
      <c r="P23" s="154" t="str">
        <f>IF(B23&gt;1,INDEX(Tbl_Neo_MedIV,B23,P$1),"")</f>
        <v>1-20 microg/kg/min</v>
      </c>
      <c r="Q23" s="154" t="str">
        <f>IF(B23&gt;1,IF(AF23*10&gt;1,AE23&amp;" uren",AE23&amp;" minuten"),"")</f>
        <v>50 uren</v>
      </c>
      <c r="R23" s="154">
        <f t="shared" ref="R23:R34" si="3">IF(I23,0,F23*2.4)</f>
        <v>24</v>
      </c>
      <c r="S23" s="154">
        <f>IF($E23&gt;1,VLOOKUP($M23,Tbl_Glob_ParEnt,S$1,FALSE),0)*$R23</f>
        <v>0</v>
      </c>
      <c r="T23" s="455">
        <f>IF($E23&gt;1,VLOOKUP($M23,Tbl_Glob_ParEnt,T$1,FALSE),0)*$R23</f>
        <v>0</v>
      </c>
      <c r="U23" s="455">
        <f>IF($E23&gt;1,VLOOKUP($M23,Tbl_Glob_ParEnt,U$1,FALSE),0)*$R23</f>
        <v>0</v>
      </c>
      <c r="V23" s="455">
        <f>IF($E23&gt;1,VLOOKUP($M23,Tbl_Glob_ParEnt,V$1,FALSE),0)*$R23</f>
        <v>0</v>
      </c>
      <c r="W23" s="455">
        <f>IF($E23&gt;1,VLOOKUP($M23,Tbl_Glob_ParEnt,W$1,FALSE),0)*$R23</f>
        <v>0</v>
      </c>
      <c r="X23" s="455">
        <f>IF($E23&gt;1,VLOOKUP($M23,Tbl_Glob_ParEnt,X$1,FALSE),0)*$R23</f>
        <v>0</v>
      </c>
      <c r="Y23" s="455">
        <f>IF($E23&gt;1,VLOOKUP($M23,Tbl_Glob_ParEnt,Y$1,FALSE),0)*$R23</f>
        <v>2.4000000000000004</v>
      </c>
      <c r="Z23" s="455">
        <f>IF($E23&gt;1,VLOOKUP($M23,Tbl_Glob_ParEnt,Z$1,FALSE),0)*$R23</f>
        <v>0</v>
      </c>
      <c r="AA23" s="455">
        <f>IF($E23&gt;1,VLOOKUP($M23,Tbl_Glob_ParEnt,AA$1,FALSE),0)*$R23</f>
        <v>9.6000000000000014</v>
      </c>
      <c r="AB23" s="455">
        <f>IF($E23&gt;1,VLOOKUP($M23,Tbl_Glob_ParEnt,AB$1,FALSE),0)*$R23</f>
        <v>0</v>
      </c>
      <c r="AC23" s="455">
        <f>IF($E23&gt;1,VLOOKUP($M23,Tbl_Glob_ParEnt,AC$1,FALSE),0)*$R23</f>
        <v>0</v>
      </c>
      <c r="AD23" s="455">
        <f>IF($E23&gt;1,VLOOKUP($M23,Tbl_Glob_ParEnt,AD$1,FALSE),0)*$R23</f>
        <v>0</v>
      </c>
      <c r="AE23" s="154">
        <f>ROUND(IF(AF23*10&gt;1,AF23*10,AF23*600),0)</f>
        <v>50</v>
      </c>
      <c r="AF23" s="154">
        <f t="shared" ref="AF23:AF34" si="4">IF(F23&gt;0,D23/F23,0)</f>
        <v>5</v>
      </c>
      <c r="AH23" s="154" t="str">
        <f>IF(B23&gt;1,CONCATENATE(J23," ",K23," in ",L23," ",M23,", ",N23," = ",G23," ",O23," (in ",Q23, ")"),"")</f>
        <v>dopamine 200 mg in 50 ml glucose 10%, 1 ml/uur = 0 microg/kg/min (in 50 uren)</v>
      </c>
    </row>
    <row r="24" spans="1:36" x14ac:dyDescent="0.2">
      <c r="A24" s="154" t="s">
        <v>596</v>
      </c>
      <c r="B24" s="154">
        <v>1</v>
      </c>
      <c r="C24" s="154">
        <v>0</v>
      </c>
      <c r="D24" s="154">
        <v>0</v>
      </c>
      <c r="E24" s="154">
        <v>1</v>
      </c>
      <c r="F24" s="154">
        <v>0</v>
      </c>
      <c r="G24" s="455">
        <f>IF(AND(_Pat_Gewicht&gt;0,D24&gt;0),ROUND( ((C24/10)/D24)*(F24/10)*H24/(_Pat_Gewicht/10),2),0)</f>
        <v>0</v>
      </c>
      <c r="H24" s="455">
        <f t="shared" si="2"/>
        <v>1</v>
      </c>
      <c r="I24" s="154">
        <v>0</v>
      </c>
      <c r="J24" s="455" t="str">
        <f>IF($B24&gt;1,INDEX(Tbl_Neo_MedIV,$B24,J$1),"")</f>
        <v/>
      </c>
      <c r="K24" s="455" t="str">
        <f>IF($B24&gt;1,(C24/10)&amp;" "&amp;INDEX(Tbl_Neo_MedIV,$B24,K$1),"")</f>
        <v/>
      </c>
      <c r="L24" s="455" t="str">
        <f>IF($B24&gt;1,(D24)&amp;" ml","")</f>
        <v/>
      </c>
      <c r="M24" s="455" t="str">
        <f>IF(E24&gt;1,INDEX(Tbl_Neo_OplVlst,E24,1),"")</f>
        <v/>
      </c>
      <c r="N24" s="455" t="str">
        <f>IF(B24&gt;1,(F24/10)&amp;" ml/uur","")</f>
        <v/>
      </c>
      <c r="O24" s="455" t="str">
        <f>IF(B24&gt;1,INDEX(Tbl_Neo_MedIV,B24,O$1),"")</f>
        <v/>
      </c>
      <c r="P24" s="455" t="str">
        <f>IF(B24&gt;1,INDEX(Tbl_Neo_MedIV,B24,P$1),"")</f>
        <v/>
      </c>
      <c r="Q24" s="455" t="str">
        <f>IF(B24&gt;1,IF(AF24*10&gt;1,AE24&amp;" uren",AE24&amp;" minuten"),"")</f>
        <v/>
      </c>
      <c r="R24" s="154">
        <f t="shared" si="3"/>
        <v>0</v>
      </c>
      <c r="S24" s="455">
        <f>IF($E24&gt;1,VLOOKUP($M24,Tbl_Glob_ParEnt,S$1,FALSE),0)*$R24</f>
        <v>0</v>
      </c>
      <c r="T24" s="455">
        <f>IF($E24&gt;1,VLOOKUP($M24,Tbl_Glob_ParEnt,T$1,FALSE),0)*$R24</f>
        <v>0</v>
      </c>
      <c r="U24" s="455">
        <f>IF($E24&gt;1,VLOOKUP($M24,Tbl_Glob_ParEnt,U$1,FALSE),0)*$R24</f>
        <v>0</v>
      </c>
      <c r="V24" s="455">
        <f>IF($E24&gt;1,VLOOKUP($M24,Tbl_Glob_ParEnt,V$1,FALSE),0)*$R24</f>
        <v>0</v>
      </c>
      <c r="W24" s="455">
        <f>IF($E24&gt;1,VLOOKUP($M24,Tbl_Glob_ParEnt,W$1,FALSE),0)*$R24</f>
        <v>0</v>
      </c>
      <c r="X24" s="455">
        <f>IF($E24&gt;1,VLOOKUP($M24,Tbl_Glob_ParEnt,X$1,FALSE),0)*$R24</f>
        <v>0</v>
      </c>
      <c r="Y24" s="455">
        <f>IF($E24&gt;1,VLOOKUP($M24,Tbl_Glob_ParEnt,Y$1,FALSE),0)*$R24</f>
        <v>0</v>
      </c>
      <c r="Z24" s="455">
        <f>IF($E24&gt;1,VLOOKUP($M24,Tbl_Glob_ParEnt,Z$1,FALSE),0)*$R24</f>
        <v>0</v>
      </c>
      <c r="AA24" s="455">
        <f>IF($E24&gt;1,VLOOKUP($M24,Tbl_Glob_ParEnt,AA$1,FALSE),0)*$R24</f>
        <v>0</v>
      </c>
      <c r="AB24" s="455">
        <f>IF($E24&gt;1,VLOOKUP($M24,Tbl_Glob_ParEnt,AB$1,FALSE),0)*$R24</f>
        <v>0</v>
      </c>
      <c r="AC24" s="455">
        <f>IF($E24&gt;1,VLOOKUP($M24,Tbl_Glob_ParEnt,AC$1,FALSE),0)*$R24</f>
        <v>0</v>
      </c>
      <c r="AD24" s="455">
        <f>IF($E24&gt;1,VLOOKUP($M24,Tbl_Glob_ParEnt,AD$1,FALSE),0)*$R24</f>
        <v>0</v>
      </c>
      <c r="AE24" s="154">
        <f t="shared" ref="AE24:AE31" si="5">ROUND(IF(AF24*10&gt;1,AF24*10,AF24*600),0)</f>
        <v>0</v>
      </c>
      <c r="AF24" s="154">
        <f t="shared" si="4"/>
        <v>0</v>
      </c>
      <c r="AH24" s="455" t="str">
        <f t="shared" ref="AH24:AH31" si="6">IF(B24&gt;1,CONCATENATE(J24," ",K24," in ",L24," ",M24,", ",N24," = ",G24," ",O24," (in ",Q24, ")"),"")</f>
        <v/>
      </c>
    </row>
    <row r="25" spans="1:36" x14ac:dyDescent="0.2">
      <c r="A25" s="154" t="s">
        <v>597</v>
      </c>
      <c r="B25" s="154">
        <v>1</v>
      </c>
      <c r="C25" s="154">
        <v>0</v>
      </c>
      <c r="D25" s="154">
        <v>0</v>
      </c>
      <c r="E25" s="154">
        <v>1</v>
      </c>
      <c r="F25" s="154">
        <v>0</v>
      </c>
      <c r="G25" s="455">
        <f>IF(AND(_Pat_Gewicht&gt;0,D25&gt;0),ROUND( ((C25/10)/D25)*(F25/10)*H25/(_Pat_Gewicht/10),2),0)</f>
        <v>0</v>
      </c>
      <c r="H25" s="455">
        <f t="shared" si="2"/>
        <v>1</v>
      </c>
      <c r="I25" s="154">
        <v>0</v>
      </c>
      <c r="J25" s="455" t="str">
        <f>IF($B25&gt;1,INDEX(Tbl_Neo_MedIV,$B25,J$1),"")</f>
        <v/>
      </c>
      <c r="K25" s="455" t="str">
        <f>IF($B25&gt;1,(C25/10)&amp;" "&amp;INDEX(Tbl_Neo_MedIV,$B25,K$1),"")</f>
        <v/>
      </c>
      <c r="L25" s="455" t="str">
        <f>IF($B25&gt;1,(D25)&amp;" ml","")</f>
        <v/>
      </c>
      <c r="M25" s="455" t="str">
        <f>IF(E25&gt;1,INDEX(Tbl_Neo_OplVlst,E25,1),"")</f>
        <v/>
      </c>
      <c r="N25" s="455" t="str">
        <f>IF(B25&gt;1,(F25/10)&amp;" ml/uur","")</f>
        <v/>
      </c>
      <c r="O25" s="455" t="str">
        <f>IF(B25&gt;1,INDEX(Tbl_Neo_MedIV,B25,O$1),"")</f>
        <v/>
      </c>
      <c r="P25" s="455" t="str">
        <f>IF(B25&gt;1,INDEX(Tbl_Neo_MedIV,B25,P$1),"")</f>
        <v/>
      </c>
      <c r="Q25" s="455" t="str">
        <f>IF(B25&gt;1,IF(AF25*10&gt;1,AE25&amp;" uren",AE25&amp;" minuten"),"")</f>
        <v/>
      </c>
      <c r="R25" s="154">
        <f t="shared" si="3"/>
        <v>0</v>
      </c>
      <c r="S25" s="455">
        <f>IF($E25&gt;1,VLOOKUP($M25,Tbl_Glob_ParEnt,S$1,FALSE),0)*$R25</f>
        <v>0</v>
      </c>
      <c r="T25" s="455">
        <f>IF($E25&gt;1,VLOOKUP($M25,Tbl_Glob_ParEnt,T$1,FALSE),0)*$R25</f>
        <v>0</v>
      </c>
      <c r="U25" s="455">
        <f>IF($E25&gt;1,VLOOKUP($M25,Tbl_Glob_ParEnt,U$1,FALSE),0)*$R25</f>
        <v>0</v>
      </c>
      <c r="V25" s="455">
        <f>IF($E25&gt;1,VLOOKUP($M25,Tbl_Glob_ParEnt,V$1,FALSE),0)*$R25</f>
        <v>0</v>
      </c>
      <c r="W25" s="455">
        <f>IF($E25&gt;1,VLOOKUP($M25,Tbl_Glob_ParEnt,W$1,FALSE),0)*$R25</f>
        <v>0</v>
      </c>
      <c r="X25" s="455">
        <f>IF($E25&gt;1,VLOOKUP($M25,Tbl_Glob_ParEnt,X$1,FALSE),0)*$R25</f>
        <v>0</v>
      </c>
      <c r="Y25" s="455">
        <f>IF($E25&gt;1,VLOOKUP($M25,Tbl_Glob_ParEnt,Y$1,FALSE),0)*$R25</f>
        <v>0</v>
      </c>
      <c r="Z25" s="455">
        <f>IF($E25&gt;1,VLOOKUP($M25,Tbl_Glob_ParEnt,Z$1,FALSE),0)*$R25</f>
        <v>0</v>
      </c>
      <c r="AA25" s="455">
        <f>IF($E25&gt;1,VLOOKUP($M25,Tbl_Glob_ParEnt,AA$1,FALSE),0)*$R25</f>
        <v>0</v>
      </c>
      <c r="AB25" s="455">
        <f>IF($E25&gt;1,VLOOKUP($M25,Tbl_Glob_ParEnt,AB$1,FALSE),0)*$R25</f>
        <v>0</v>
      </c>
      <c r="AC25" s="455">
        <f>IF($E25&gt;1,VLOOKUP($M25,Tbl_Glob_ParEnt,AC$1,FALSE),0)*$R25</f>
        <v>0</v>
      </c>
      <c r="AD25" s="455">
        <f>IF($E25&gt;1,VLOOKUP($M25,Tbl_Glob_ParEnt,AD$1,FALSE),0)*$R25</f>
        <v>0</v>
      </c>
      <c r="AE25" s="154">
        <f t="shared" si="5"/>
        <v>0</v>
      </c>
      <c r="AF25" s="154">
        <f t="shared" si="4"/>
        <v>0</v>
      </c>
      <c r="AH25" s="455" t="str">
        <f t="shared" si="6"/>
        <v/>
      </c>
    </row>
    <row r="26" spans="1:36" x14ac:dyDescent="0.2">
      <c r="A26" s="154" t="s">
        <v>598</v>
      </c>
      <c r="B26" s="154">
        <v>1</v>
      </c>
      <c r="C26" s="154">
        <v>0</v>
      </c>
      <c r="D26" s="154">
        <v>0</v>
      </c>
      <c r="E26" s="154">
        <v>1</v>
      </c>
      <c r="F26" s="154">
        <v>0</v>
      </c>
      <c r="G26" s="455">
        <f>IF(AND(_Pat_Gewicht&gt;0,D26&gt;0),ROUND( ((C26/10)/D26)*(F26/10)*H26/(_Pat_Gewicht/10),2),0)</f>
        <v>0</v>
      </c>
      <c r="H26" s="455">
        <f t="shared" si="2"/>
        <v>1</v>
      </c>
      <c r="I26" s="154">
        <v>0</v>
      </c>
      <c r="J26" s="455" t="str">
        <f>IF($B26&gt;1,INDEX(Tbl_Neo_MedIV,$B26,J$1),"")</f>
        <v/>
      </c>
      <c r="K26" s="455" t="str">
        <f>IF($B26&gt;1,(C26/10)&amp;" "&amp;INDEX(Tbl_Neo_MedIV,$B26,K$1),"")</f>
        <v/>
      </c>
      <c r="L26" s="455" t="str">
        <f>IF($B26&gt;1,(D26)&amp;" ml","")</f>
        <v/>
      </c>
      <c r="M26" s="455" t="str">
        <f>IF(E26&gt;1,INDEX(Tbl_Neo_OplVlst,E26,1),"")</f>
        <v/>
      </c>
      <c r="N26" s="455" t="str">
        <f>IF(B26&gt;1,(F26/10)&amp;" ml/uur","")</f>
        <v/>
      </c>
      <c r="O26" s="455" t="str">
        <f>IF(B26&gt;1,INDEX(Tbl_Neo_MedIV,B26,O$1),"")</f>
        <v/>
      </c>
      <c r="P26" s="455" t="str">
        <f>IF(B26&gt;1,INDEX(Tbl_Neo_MedIV,B26,P$1),"")</f>
        <v/>
      </c>
      <c r="Q26" s="455" t="str">
        <f>IF(B26&gt;1,IF(AF26*10&gt;1,AE26&amp;" uren",AE26&amp;" minuten"),"")</f>
        <v/>
      </c>
      <c r="R26" s="154">
        <f t="shared" si="3"/>
        <v>0</v>
      </c>
      <c r="S26" s="455">
        <f>IF($E26&gt;1,VLOOKUP($M26,Tbl_Glob_ParEnt,S$1,FALSE),0)*$R26</f>
        <v>0</v>
      </c>
      <c r="T26" s="455">
        <f>IF($E26&gt;1,VLOOKUP($M26,Tbl_Glob_ParEnt,T$1,FALSE),0)*$R26</f>
        <v>0</v>
      </c>
      <c r="U26" s="455">
        <f>IF($E26&gt;1,VLOOKUP($M26,Tbl_Glob_ParEnt,U$1,FALSE),0)*$R26</f>
        <v>0</v>
      </c>
      <c r="V26" s="455">
        <f>IF($E26&gt;1,VLOOKUP($M26,Tbl_Glob_ParEnt,V$1,FALSE),0)*$R26</f>
        <v>0</v>
      </c>
      <c r="W26" s="455">
        <f>IF($E26&gt;1,VLOOKUP($M26,Tbl_Glob_ParEnt,W$1,FALSE),0)*$R26</f>
        <v>0</v>
      </c>
      <c r="X26" s="455">
        <f>IF($E26&gt;1,VLOOKUP($M26,Tbl_Glob_ParEnt,X$1,FALSE),0)*$R26</f>
        <v>0</v>
      </c>
      <c r="Y26" s="455">
        <f>IF($E26&gt;1,VLOOKUP($M26,Tbl_Glob_ParEnt,Y$1,FALSE),0)*$R26</f>
        <v>0</v>
      </c>
      <c r="Z26" s="455">
        <f>IF($E26&gt;1,VLOOKUP($M26,Tbl_Glob_ParEnt,Z$1,FALSE),0)*$R26</f>
        <v>0</v>
      </c>
      <c r="AA26" s="455">
        <f>IF($E26&gt;1,VLOOKUP($M26,Tbl_Glob_ParEnt,AA$1,FALSE),0)*$R26</f>
        <v>0</v>
      </c>
      <c r="AB26" s="455">
        <f>IF($E26&gt;1,VLOOKUP($M26,Tbl_Glob_ParEnt,AB$1,FALSE),0)*$R26</f>
        <v>0</v>
      </c>
      <c r="AC26" s="455">
        <f>IF($E26&gt;1,VLOOKUP($M26,Tbl_Glob_ParEnt,AC$1,FALSE),0)*$R26</f>
        <v>0</v>
      </c>
      <c r="AD26" s="455">
        <f>IF($E26&gt;1,VLOOKUP($M26,Tbl_Glob_ParEnt,AD$1,FALSE),0)*$R26</f>
        <v>0</v>
      </c>
      <c r="AE26" s="154">
        <f t="shared" si="5"/>
        <v>0</v>
      </c>
      <c r="AF26" s="154">
        <f t="shared" si="4"/>
        <v>0</v>
      </c>
      <c r="AH26" s="455" t="str">
        <f t="shared" si="6"/>
        <v/>
      </c>
    </row>
    <row r="27" spans="1:36" x14ac:dyDescent="0.2">
      <c r="A27" s="154" t="s">
        <v>599</v>
      </c>
      <c r="B27" s="154">
        <v>1</v>
      </c>
      <c r="C27" s="154">
        <v>0</v>
      </c>
      <c r="D27" s="154">
        <v>0</v>
      </c>
      <c r="E27" s="154">
        <v>1</v>
      </c>
      <c r="F27" s="154">
        <v>0</v>
      </c>
      <c r="G27" s="455">
        <f>IF(AND(_Pat_Gewicht&gt;0,D27&gt;0),ROUND( ((C27/10)/D27)*(F27/10)*H27/(_Pat_Gewicht/10),2),0)</f>
        <v>0</v>
      </c>
      <c r="H27" s="455">
        <f t="shared" si="2"/>
        <v>1</v>
      </c>
      <c r="I27" s="154">
        <v>0</v>
      </c>
      <c r="J27" s="455" t="str">
        <f>IF($B27&gt;1,INDEX(Tbl_Neo_MedIV,$B27,J$1),"")</f>
        <v/>
      </c>
      <c r="K27" s="455" t="str">
        <f>IF($B27&gt;1,(C27/10)&amp;" "&amp;INDEX(Tbl_Neo_MedIV,$B27,K$1),"")</f>
        <v/>
      </c>
      <c r="L27" s="455" t="str">
        <f>IF($B27&gt;1,(D27)&amp;" ml","")</f>
        <v/>
      </c>
      <c r="M27" s="455" t="str">
        <f>IF(E27&gt;1,INDEX(Tbl_Neo_OplVlst,E27,1),"")</f>
        <v/>
      </c>
      <c r="N27" s="455" t="str">
        <f>IF(B27&gt;1,(F27/10)&amp;" ml/uur","")</f>
        <v/>
      </c>
      <c r="O27" s="455" t="str">
        <f>IF(B27&gt;1,INDEX(Tbl_Neo_MedIV,B27,O$1),"")</f>
        <v/>
      </c>
      <c r="P27" s="455" t="str">
        <f>IF(B27&gt;1,INDEX(Tbl_Neo_MedIV,B27,P$1),"")</f>
        <v/>
      </c>
      <c r="Q27" s="455" t="str">
        <f>IF(B27&gt;1,IF(AF27*10&gt;1,AE27&amp;" uren",AE27&amp;" minuten"),"")</f>
        <v/>
      </c>
      <c r="R27" s="154">
        <f t="shared" si="3"/>
        <v>0</v>
      </c>
      <c r="S27" s="455">
        <f>IF($E27&gt;1,VLOOKUP($M27,Tbl_Glob_ParEnt,S$1,FALSE),0)*$R27</f>
        <v>0</v>
      </c>
      <c r="T27" s="455">
        <f>IF($E27&gt;1,VLOOKUP($M27,Tbl_Glob_ParEnt,T$1,FALSE),0)*$R27</f>
        <v>0</v>
      </c>
      <c r="U27" s="455">
        <f>IF($E27&gt;1,VLOOKUP($M27,Tbl_Glob_ParEnt,U$1,FALSE),0)*$R27</f>
        <v>0</v>
      </c>
      <c r="V27" s="455">
        <f>IF($E27&gt;1,VLOOKUP($M27,Tbl_Glob_ParEnt,V$1,FALSE),0)*$R27</f>
        <v>0</v>
      </c>
      <c r="W27" s="455">
        <f>IF($E27&gt;1,VLOOKUP($M27,Tbl_Glob_ParEnt,W$1,FALSE),0)*$R27</f>
        <v>0</v>
      </c>
      <c r="X27" s="455">
        <f>IF($E27&gt;1,VLOOKUP($M27,Tbl_Glob_ParEnt,X$1,FALSE),0)*$R27</f>
        <v>0</v>
      </c>
      <c r="Y27" s="455">
        <f>IF($E27&gt;1,VLOOKUP($M27,Tbl_Glob_ParEnt,Y$1,FALSE),0)*$R27</f>
        <v>0</v>
      </c>
      <c r="Z27" s="455">
        <f>IF($E27&gt;1,VLOOKUP($M27,Tbl_Glob_ParEnt,Z$1,FALSE),0)*$R27</f>
        <v>0</v>
      </c>
      <c r="AA27" s="455">
        <f>IF($E27&gt;1,VLOOKUP($M27,Tbl_Glob_ParEnt,AA$1,FALSE),0)*$R27</f>
        <v>0</v>
      </c>
      <c r="AB27" s="455">
        <f>IF($E27&gt;1,VLOOKUP($M27,Tbl_Glob_ParEnt,AB$1,FALSE),0)*$R27</f>
        <v>0</v>
      </c>
      <c r="AC27" s="455">
        <f>IF($E27&gt;1,VLOOKUP($M27,Tbl_Glob_ParEnt,AC$1,FALSE),0)*$R27</f>
        <v>0</v>
      </c>
      <c r="AD27" s="455">
        <f>IF($E27&gt;1,VLOOKUP($M27,Tbl_Glob_ParEnt,AD$1,FALSE),0)*$R27</f>
        <v>0</v>
      </c>
      <c r="AE27" s="154">
        <f t="shared" si="5"/>
        <v>0</v>
      </c>
      <c r="AF27" s="154">
        <f t="shared" si="4"/>
        <v>0</v>
      </c>
      <c r="AH27" s="455" t="str">
        <f t="shared" si="6"/>
        <v/>
      </c>
    </row>
    <row r="28" spans="1:36" x14ac:dyDescent="0.2">
      <c r="A28" s="154" t="s">
        <v>600</v>
      </c>
      <c r="B28" s="154">
        <v>1</v>
      </c>
      <c r="C28" s="154">
        <v>0</v>
      </c>
      <c r="D28" s="154">
        <v>0</v>
      </c>
      <c r="E28" s="154">
        <v>1</v>
      </c>
      <c r="F28" s="154">
        <v>0</v>
      </c>
      <c r="G28" s="455">
        <f>IF(AND(_Pat_Gewicht&gt;0,D28&gt;0),ROUND( ((C28/10)/D28)*(F28/10)*H28/(_Pat_Gewicht/10),2),0)</f>
        <v>0</v>
      </c>
      <c r="H28" s="455">
        <f t="shared" si="2"/>
        <v>1</v>
      </c>
      <c r="I28" s="154">
        <v>0</v>
      </c>
      <c r="J28" s="455" t="str">
        <f>IF($B28&gt;1,INDEX(Tbl_Neo_MedIV,$B28,J$1),"")</f>
        <v/>
      </c>
      <c r="K28" s="455" t="str">
        <f>IF($B28&gt;1,(C28/10)&amp;" "&amp;INDEX(Tbl_Neo_MedIV,$B28,K$1),"")</f>
        <v/>
      </c>
      <c r="L28" s="455" t="str">
        <f>IF($B28&gt;1,(D28)&amp;" ml","")</f>
        <v/>
      </c>
      <c r="M28" s="455" t="str">
        <f>IF(E28&gt;1,INDEX(Tbl_Neo_OplVlst,E28,1),"")</f>
        <v/>
      </c>
      <c r="N28" s="455" t="str">
        <f>IF(B28&gt;1,(F28/10)&amp;" ml/uur","")</f>
        <v/>
      </c>
      <c r="O28" s="455" t="str">
        <f>IF(B28&gt;1,INDEX(Tbl_Neo_MedIV,B28,O$1),"")</f>
        <v/>
      </c>
      <c r="P28" s="455" t="str">
        <f>IF(B28&gt;1,INDEX(Tbl_Neo_MedIV,B28,P$1),"")</f>
        <v/>
      </c>
      <c r="Q28" s="455" t="str">
        <f>IF(B28&gt;1,IF(AF28*10&gt;1,AE28&amp;" uren",AE28&amp;" minuten"),"")</f>
        <v/>
      </c>
      <c r="R28" s="154">
        <f t="shared" si="3"/>
        <v>0</v>
      </c>
      <c r="S28" s="455">
        <f>IF($E28&gt;1,VLOOKUP($M28,Tbl_Glob_ParEnt,S$1,FALSE),0)*$R28</f>
        <v>0</v>
      </c>
      <c r="T28" s="455">
        <f>IF($E28&gt;1,VLOOKUP($M28,Tbl_Glob_ParEnt,T$1,FALSE),0)*$R28</f>
        <v>0</v>
      </c>
      <c r="U28" s="455">
        <f>IF($E28&gt;1,VLOOKUP($M28,Tbl_Glob_ParEnt,U$1,FALSE),0)*$R28</f>
        <v>0</v>
      </c>
      <c r="V28" s="455">
        <f>IF($E28&gt;1,VLOOKUP($M28,Tbl_Glob_ParEnt,V$1,FALSE),0)*$R28</f>
        <v>0</v>
      </c>
      <c r="W28" s="455">
        <f>IF($E28&gt;1,VLOOKUP($M28,Tbl_Glob_ParEnt,W$1,FALSE),0)*$R28</f>
        <v>0</v>
      </c>
      <c r="X28" s="455">
        <f>IF($E28&gt;1,VLOOKUP($M28,Tbl_Glob_ParEnt,X$1,FALSE),0)*$R28</f>
        <v>0</v>
      </c>
      <c r="Y28" s="455">
        <f>IF($E28&gt;1,VLOOKUP($M28,Tbl_Glob_ParEnt,Y$1,FALSE),0)*$R28</f>
        <v>0</v>
      </c>
      <c r="Z28" s="455">
        <f>IF($E28&gt;1,VLOOKUP($M28,Tbl_Glob_ParEnt,Z$1,FALSE),0)*$R28</f>
        <v>0</v>
      </c>
      <c r="AA28" s="455">
        <f>IF($E28&gt;1,VLOOKUP($M28,Tbl_Glob_ParEnt,AA$1,FALSE),0)*$R28</f>
        <v>0</v>
      </c>
      <c r="AB28" s="455">
        <f>IF($E28&gt;1,VLOOKUP($M28,Tbl_Glob_ParEnt,AB$1,FALSE),0)*$R28</f>
        <v>0</v>
      </c>
      <c r="AC28" s="455">
        <f>IF($E28&gt;1,VLOOKUP($M28,Tbl_Glob_ParEnt,AC$1,FALSE),0)*$R28</f>
        <v>0</v>
      </c>
      <c r="AD28" s="455">
        <f>IF($E28&gt;1,VLOOKUP($M28,Tbl_Glob_ParEnt,AD$1,FALSE),0)*$R28</f>
        <v>0</v>
      </c>
      <c r="AE28" s="154">
        <f t="shared" si="5"/>
        <v>0</v>
      </c>
      <c r="AF28" s="154">
        <f t="shared" si="4"/>
        <v>0</v>
      </c>
      <c r="AH28" s="455" t="str">
        <f t="shared" si="6"/>
        <v/>
      </c>
    </row>
    <row r="29" spans="1:36" x14ac:dyDescent="0.2">
      <c r="A29" s="154" t="s">
        <v>601</v>
      </c>
      <c r="B29" s="154">
        <v>1</v>
      </c>
      <c r="C29" s="154">
        <v>0</v>
      </c>
      <c r="D29" s="154">
        <v>0</v>
      </c>
      <c r="E29" s="154">
        <v>1</v>
      </c>
      <c r="F29" s="154">
        <v>0</v>
      </c>
      <c r="G29" s="455">
        <f>IF(AND(_Pat_Gewicht&gt;0,D29&gt;0),ROUND( ((C29/10)/D29)*(F29/10)*H29/(_Pat_Gewicht/10),2),0)</f>
        <v>0</v>
      </c>
      <c r="H29" s="455">
        <f t="shared" si="2"/>
        <v>1</v>
      </c>
      <c r="I29" s="154">
        <v>0</v>
      </c>
      <c r="J29" s="455" t="str">
        <f>IF($B29&gt;1,INDEX(Tbl_Neo_MedIV,$B29,J$1),"")</f>
        <v/>
      </c>
      <c r="K29" s="455" t="str">
        <f>IF($B29&gt;1,(C29/10)&amp;" "&amp;INDEX(Tbl_Neo_MedIV,$B29,K$1),"")</f>
        <v/>
      </c>
      <c r="L29" s="455" t="str">
        <f>IF($B29&gt;1,(D29)&amp;" ml","")</f>
        <v/>
      </c>
      <c r="M29" s="455" t="str">
        <f>IF(E29&gt;1,INDEX(Tbl_Neo_OplVlst,E29,1),"")</f>
        <v/>
      </c>
      <c r="N29" s="455" t="str">
        <f>IF(B29&gt;1,(F29/10)&amp;" ml/uur","")</f>
        <v/>
      </c>
      <c r="O29" s="455" t="str">
        <f>IF(B29&gt;1,INDEX(Tbl_Neo_MedIV,B29,O$1),"")</f>
        <v/>
      </c>
      <c r="P29" s="455" t="str">
        <f>IF(B29&gt;1,INDEX(Tbl_Neo_MedIV,B29,P$1),"")</f>
        <v/>
      </c>
      <c r="Q29" s="455" t="str">
        <f>IF(B29&gt;1,IF(AF29*10&gt;1,AE29&amp;" uren",AE29&amp;" minuten"),"")</f>
        <v/>
      </c>
      <c r="R29" s="154">
        <f t="shared" si="3"/>
        <v>0</v>
      </c>
      <c r="S29" s="455">
        <f>IF($E29&gt;1,VLOOKUP($M29,Tbl_Glob_ParEnt,S$1,FALSE),0)*$R29</f>
        <v>0</v>
      </c>
      <c r="T29" s="455">
        <f>IF($E29&gt;1,VLOOKUP($M29,Tbl_Glob_ParEnt,T$1,FALSE),0)*$R29</f>
        <v>0</v>
      </c>
      <c r="U29" s="455">
        <f>IF($E29&gt;1,VLOOKUP($M29,Tbl_Glob_ParEnt,U$1,FALSE),0)*$R29</f>
        <v>0</v>
      </c>
      <c r="V29" s="455">
        <f>IF($E29&gt;1,VLOOKUP($M29,Tbl_Glob_ParEnt,V$1,FALSE),0)*$R29</f>
        <v>0</v>
      </c>
      <c r="W29" s="455">
        <f>IF($E29&gt;1,VLOOKUP($M29,Tbl_Glob_ParEnt,W$1,FALSE),0)*$R29</f>
        <v>0</v>
      </c>
      <c r="X29" s="455">
        <f>IF($E29&gt;1,VLOOKUP($M29,Tbl_Glob_ParEnt,X$1,FALSE),0)*$R29</f>
        <v>0</v>
      </c>
      <c r="Y29" s="455">
        <f>IF($E29&gt;1,VLOOKUP($M29,Tbl_Glob_ParEnt,Y$1,FALSE),0)*$R29</f>
        <v>0</v>
      </c>
      <c r="Z29" s="455">
        <f>IF($E29&gt;1,VLOOKUP($M29,Tbl_Glob_ParEnt,Z$1,FALSE),0)*$R29</f>
        <v>0</v>
      </c>
      <c r="AA29" s="455">
        <f>IF($E29&gt;1,VLOOKUP($M29,Tbl_Glob_ParEnt,AA$1,FALSE),0)*$R29</f>
        <v>0</v>
      </c>
      <c r="AB29" s="455">
        <f>IF($E29&gt;1,VLOOKUP($M29,Tbl_Glob_ParEnt,AB$1,FALSE),0)*$R29</f>
        <v>0</v>
      </c>
      <c r="AC29" s="455">
        <f>IF($E29&gt;1,VLOOKUP($M29,Tbl_Glob_ParEnt,AC$1,FALSE),0)*$R29</f>
        <v>0</v>
      </c>
      <c r="AD29" s="455">
        <f>IF($E29&gt;1,VLOOKUP($M29,Tbl_Glob_ParEnt,AD$1,FALSE),0)*$R29</f>
        <v>0</v>
      </c>
      <c r="AE29" s="154">
        <f t="shared" si="5"/>
        <v>0</v>
      </c>
      <c r="AF29" s="154">
        <f t="shared" si="4"/>
        <v>0</v>
      </c>
      <c r="AH29" s="455" t="str">
        <f t="shared" si="6"/>
        <v/>
      </c>
    </row>
    <row r="30" spans="1:36" x14ac:dyDescent="0.2">
      <c r="A30" s="154" t="s">
        <v>602</v>
      </c>
      <c r="B30" s="154">
        <v>1</v>
      </c>
      <c r="C30" s="154">
        <v>0</v>
      </c>
      <c r="D30" s="154">
        <v>0</v>
      </c>
      <c r="E30" s="154">
        <v>1</v>
      </c>
      <c r="F30" s="154">
        <v>0</v>
      </c>
      <c r="G30" s="455">
        <f>IF(AND(_Pat_Gewicht&gt;0,D30&gt;0),ROUND( ((C30/10)/D30)*(F30/10)*H30/(_Pat_Gewicht/10),2),0)</f>
        <v>0</v>
      </c>
      <c r="H30" s="455">
        <f t="shared" si="2"/>
        <v>1</v>
      </c>
      <c r="I30" s="154">
        <v>0</v>
      </c>
      <c r="J30" s="455" t="str">
        <f>IF($B30&gt;1,INDEX(Tbl_Neo_MedIV,$B30,J$1),"")</f>
        <v/>
      </c>
      <c r="K30" s="455" t="str">
        <f>IF($B30&gt;1,(C30/10)&amp;" "&amp;INDEX(Tbl_Neo_MedIV,$B30,K$1),"")</f>
        <v/>
      </c>
      <c r="L30" s="455" t="str">
        <f>IF($B30&gt;1,(D30)&amp;" ml","")</f>
        <v/>
      </c>
      <c r="M30" s="455" t="str">
        <f>IF(E30&gt;1,INDEX(Tbl_Neo_OplVlst,E30,1),"")</f>
        <v/>
      </c>
      <c r="N30" s="455" t="str">
        <f>IF(B30&gt;1,(F30/10)&amp;" ml/uur","")</f>
        <v/>
      </c>
      <c r="O30" s="455" t="str">
        <f>IF(B30&gt;1,INDEX(Tbl_Neo_MedIV,B30,O$1),"")</f>
        <v/>
      </c>
      <c r="P30" s="455" t="str">
        <f>IF(B30&gt;1,INDEX(Tbl_Neo_MedIV,B30,P$1),"")</f>
        <v/>
      </c>
      <c r="Q30" s="455" t="str">
        <f>IF(B30&gt;1,IF(AF30*10&gt;1,AE30&amp;" uren",AE30&amp;" minuten"),"")</f>
        <v/>
      </c>
      <c r="R30" s="154">
        <f t="shared" si="3"/>
        <v>0</v>
      </c>
      <c r="S30" s="455">
        <f>IF($E30&gt;1,VLOOKUP($M30,Tbl_Glob_ParEnt,S$1,FALSE),0)*$R30</f>
        <v>0</v>
      </c>
      <c r="T30" s="455">
        <f>IF($E30&gt;1,VLOOKUP($M30,Tbl_Glob_ParEnt,T$1,FALSE),0)*$R30</f>
        <v>0</v>
      </c>
      <c r="U30" s="455">
        <f>IF($E30&gt;1,VLOOKUP($M30,Tbl_Glob_ParEnt,U$1,FALSE),0)*$R30</f>
        <v>0</v>
      </c>
      <c r="V30" s="455">
        <f>IF($E30&gt;1,VLOOKUP($M30,Tbl_Glob_ParEnt,V$1,FALSE),0)*$R30</f>
        <v>0</v>
      </c>
      <c r="W30" s="455">
        <f>IF($E30&gt;1,VLOOKUP($M30,Tbl_Glob_ParEnt,W$1,FALSE),0)*$R30</f>
        <v>0</v>
      </c>
      <c r="X30" s="455">
        <f>IF($E30&gt;1,VLOOKUP($M30,Tbl_Glob_ParEnt,X$1,FALSE),0)*$R30</f>
        <v>0</v>
      </c>
      <c r="Y30" s="455">
        <f>IF($E30&gt;1,VLOOKUP($M30,Tbl_Glob_ParEnt,Y$1,FALSE),0)*$R30</f>
        <v>0</v>
      </c>
      <c r="Z30" s="455">
        <f>IF($E30&gt;1,VLOOKUP($M30,Tbl_Glob_ParEnt,Z$1,FALSE),0)*$R30</f>
        <v>0</v>
      </c>
      <c r="AA30" s="455">
        <f>IF($E30&gt;1,VLOOKUP($M30,Tbl_Glob_ParEnt,AA$1,FALSE),0)*$R30</f>
        <v>0</v>
      </c>
      <c r="AB30" s="455">
        <f>IF($E30&gt;1,VLOOKUP($M30,Tbl_Glob_ParEnt,AB$1,FALSE),0)*$R30</f>
        <v>0</v>
      </c>
      <c r="AC30" s="455">
        <f>IF($E30&gt;1,VLOOKUP($M30,Tbl_Glob_ParEnt,AC$1,FALSE),0)*$R30</f>
        <v>0</v>
      </c>
      <c r="AD30" s="455">
        <f>IF($E30&gt;1,VLOOKUP($M30,Tbl_Glob_ParEnt,AD$1,FALSE),0)*$R30</f>
        <v>0</v>
      </c>
      <c r="AE30" s="154">
        <f t="shared" si="5"/>
        <v>0</v>
      </c>
      <c r="AF30" s="154">
        <f t="shared" si="4"/>
        <v>0</v>
      </c>
      <c r="AH30" s="455" t="str">
        <f t="shared" si="6"/>
        <v/>
      </c>
    </row>
    <row r="31" spans="1:36" x14ac:dyDescent="0.2">
      <c r="A31" s="154" t="s">
        <v>603</v>
      </c>
      <c r="B31" s="154">
        <v>1</v>
      </c>
      <c r="C31" s="154">
        <v>0</v>
      </c>
      <c r="D31" s="154">
        <v>0</v>
      </c>
      <c r="E31" s="154">
        <v>1</v>
      </c>
      <c r="F31" s="154">
        <v>0</v>
      </c>
      <c r="G31" s="455">
        <f>IF(AND(_Pat_Gewicht&gt;0,D31&gt;0),ROUND( ((C31/10)/D31)*(F31/10)*H31/(_Pat_Gewicht/10),2),0)</f>
        <v>0</v>
      </c>
      <c r="H31" s="455">
        <f t="shared" si="2"/>
        <v>1</v>
      </c>
      <c r="I31" s="154">
        <v>0</v>
      </c>
      <c r="J31" s="455" t="str">
        <f>IF($B31&gt;1,INDEX(Tbl_Neo_MedIV,$B31,J$1),"")</f>
        <v/>
      </c>
      <c r="K31" s="455" t="str">
        <f>IF($B31&gt;1,(C31/10)&amp;" "&amp;INDEX(Tbl_Neo_MedIV,$B31,K$1),"")</f>
        <v/>
      </c>
      <c r="L31" s="455" t="str">
        <f>IF($B31&gt;1,(D31)&amp;" ml","")</f>
        <v/>
      </c>
      <c r="M31" s="455" t="str">
        <f>IF(E31&gt;1,INDEX(Tbl_Neo_OplVlst,E31,1),"")</f>
        <v/>
      </c>
      <c r="N31" s="455" t="str">
        <f>IF(B31&gt;1,(F31/10)&amp;" ml/uur","")</f>
        <v/>
      </c>
      <c r="O31" s="455" t="str">
        <f>IF(B31&gt;1,INDEX(Tbl_Neo_MedIV,B31,O$1),"")</f>
        <v/>
      </c>
      <c r="P31" s="455" t="str">
        <f>IF(B31&gt;1,INDEX(Tbl_Neo_MedIV,B31,P$1),"")</f>
        <v/>
      </c>
      <c r="Q31" s="455" t="str">
        <f>IF(B31&gt;1,IF(AF31*10&gt;1,AE31&amp;" uren",AE31&amp;" minuten"),"")</f>
        <v/>
      </c>
      <c r="R31" s="154">
        <f t="shared" si="3"/>
        <v>0</v>
      </c>
      <c r="S31" s="455">
        <f>IF($E31&gt;1,VLOOKUP($M31,Tbl_Glob_ParEnt,S$1,FALSE),0)*$R31</f>
        <v>0</v>
      </c>
      <c r="T31" s="455">
        <f>IF($E31&gt;1,VLOOKUP($M31,Tbl_Glob_ParEnt,T$1,FALSE),0)*$R31</f>
        <v>0</v>
      </c>
      <c r="U31" s="455">
        <f>IF($E31&gt;1,VLOOKUP($M31,Tbl_Glob_ParEnt,U$1,FALSE),0)*$R31</f>
        <v>0</v>
      </c>
      <c r="V31" s="455">
        <f>IF($E31&gt;1,VLOOKUP($M31,Tbl_Glob_ParEnt,V$1,FALSE),0)*$R31</f>
        <v>0</v>
      </c>
      <c r="W31" s="455">
        <f>IF($E31&gt;1,VLOOKUP($M31,Tbl_Glob_ParEnt,W$1,FALSE),0)*$R31</f>
        <v>0</v>
      </c>
      <c r="X31" s="455">
        <f>IF($E31&gt;1,VLOOKUP($M31,Tbl_Glob_ParEnt,X$1,FALSE),0)*$R31</f>
        <v>0</v>
      </c>
      <c r="Y31" s="455">
        <f>IF($E31&gt;1,VLOOKUP($M31,Tbl_Glob_ParEnt,Y$1,FALSE),0)*$R31</f>
        <v>0</v>
      </c>
      <c r="Z31" s="455">
        <f>IF($E31&gt;1,VLOOKUP($M31,Tbl_Glob_ParEnt,Z$1,FALSE),0)*$R31</f>
        <v>0</v>
      </c>
      <c r="AA31" s="455">
        <f>IF($E31&gt;1,VLOOKUP($M31,Tbl_Glob_ParEnt,AA$1,FALSE),0)*$R31</f>
        <v>0</v>
      </c>
      <c r="AB31" s="455">
        <f>IF($E31&gt;1,VLOOKUP($M31,Tbl_Glob_ParEnt,AB$1,FALSE),0)*$R31</f>
        <v>0</v>
      </c>
      <c r="AC31" s="455">
        <f>IF($E31&gt;1,VLOOKUP($M31,Tbl_Glob_ParEnt,AC$1,FALSE),0)*$R31</f>
        <v>0</v>
      </c>
      <c r="AD31" s="455">
        <f>IF($E31&gt;1,VLOOKUP($M31,Tbl_Glob_ParEnt,AD$1,FALSE),0)*$R31</f>
        <v>0</v>
      </c>
      <c r="AE31" s="154">
        <f t="shared" si="5"/>
        <v>0</v>
      </c>
      <c r="AF31" s="154">
        <f t="shared" si="4"/>
        <v>0</v>
      </c>
      <c r="AH31" s="455" t="str">
        <f t="shared" si="6"/>
        <v/>
      </c>
    </row>
    <row r="32" spans="1:36" x14ac:dyDescent="0.2">
      <c r="A32" s="154" t="s">
        <v>552</v>
      </c>
      <c r="E32" s="154">
        <v>6</v>
      </c>
      <c r="F32" s="154">
        <v>2</v>
      </c>
      <c r="I32" s="154" t="b">
        <v>0</v>
      </c>
      <c r="J32" s="154"/>
      <c r="K32" s="154"/>
      <c r="L32" s="154"/>
      <c r="M32" s="455" t="str">
        <f>IF(E32&gt;1,INDEX(Tbl_Neo_OplVlst,E32,1),"")</f>
        <v>glucose 25%</v>
      </c>
      <c r="N32" s="455" t="str">
        <f>IF(F32&gt;0,(F32/10)&amp;" ml/uur","")</f>
        <v>0.2 ml/uur</v>
      </c>
      <c r="O32" s="154"/>
      <c r="P32" s="154"/>
      <c r="Q32" s="154"/>
      <c r="R32" s="154">
        <f t="shared" si="3"/>
        <v>4.8</v>
      </c>
      <c r="S32" s="455">
        <f>IF($E32&gt;1,VLOOKUP($M32,Tbl_Glob_ParEnt,S$1,FALSE),0)*$R32</f>
        <v>0</v>
      </c>
      <c r="T32" s="455">
        <f>IF($E32&gt;1,VLOOKUP($M32,Tbl_Glob_ParEnt,T$1,FALSE),0)*$R32</f>
        <v>0</v>
      </c>
      <c r="U32" s="455">
        <f>IF($E32&gt;1,VLOOKUP($M32,Tbl_Glob_ParEnt,U$1,FALSE),0)*$R32</f>
        <v>0</v>
      </c>
      <c r="V32" s="455">
        <f>IF($E32&gt;1,VLOOKUP($M32,Tbl_Glob_ParEnt,V$1,FALSE),0)*$R32</f>
        <v>0</v>
      </c>
      <c r="W32" s="455">
        <f>IF($E32&gt;1,VLOOKUP($M32,Tbl_Glob_ParEnt,W$1,FALSE),0)*$R32</f>
        <v>0</v>
      </c>
      <c r="X32" s="455">
        <f>IF($E32&gt;1,VLOOKUP($M32,Tbl_Glob_ParEnt,X$1,FALSE),0)*$R32</f>
        <v>0</v>
      </c>
      <c r="Y32" s="455">
        <f>IF($E32&gt;1,VLOOKUP($M32,Tbl_Glob_ParEnt,Y$1,FALSE),0)*$R32</f>
        <v>1.2</v>
      </c>
      <c r="Z32" s="455">
        <f>IF($E32&gt;1,VLOOKUP($M32,Tbl_Glob_ParEnt,Z$1,FALSE),0)*$R32</f>
        <v>0</v>
      </c>
      <c r="AA32" s="455">
        <f>IF($E32&gt;1,VLOOKUP($M32,Tbl_Glob_ParEnt,AA$1,FALSE),0)*$R32</f>
        <v>4.8</v>
      </c>
      <c r="AB32" s="455">
        <f>IF($E32&gt;1,VLOOKUP($M32,Tbl_Glob_ParEnt,AB$1,FALSE),0)*$R32</f>
        <v>0</v>
      </c>
      <c r="AC32" s="455">
        <f>IF($E32&gt;1,VLOOKUP($M32,Tbl_Glob_ParEnt,AC$1,FALSE),0)*$R32</f>
        <v>0</v>
      </c>
      <c r="AD32" s="455">
        <f>IF($E32&gt;1,VLOOKUP($M32,Tbl_Glob_ParEnt,AD$1,FALSE),0)*$R32</f>
        <v>0</v>
      </c>
      <c r="AE32" s="154">
        <f>ROUND(IF(AF32*10&gt;1,AF32*10,AF32*600),0)</f>
        <v>0</v>
      </c>
      <c r="AF32" s="154">
        <f t="shared" si="4"/>
        <v>0</v>
      </c>
      <c r="AH32" s="436" t="str">
        <f>IF(M32="","",CONCATENATE(A32," ",M32," ",N32))</f>
        <v>Zijlijn 1 glucose 25% 0.2 ml/uur</v>
      </c>
    </row>
    <row r="33" spans="1:42" x14ac:dyDescent="0.2">
      <c r="A33" s="154" t="s">
        <v>553</v>
      </c>
      <c r="E33" s="154">
        <v>8</v>
      </c>
      <c r="F33" s="154">
        <v>3</v>
      </c>
      <c r="I33" s="154" t="b">
        <v>0</v>
      </c>
      <c r="J33" s="154"/>
      <c r="K33" s="154"/>
      <c r="L33" s="154"/>
      <c r="M33" s="455" t="str">
        <f>IF(E33&gt;1,INDEX(Tbl_Neo_OplVlst,E33,1),"")</f>
        <v>glucose 35%</v>
      </c>
      <c r="N33" s="455" t="str">
        <f t="shared" ref="N33:N34" si="7">IF(F33&gt;0,(F33/10)&amp;" ml/uur","")</f>
        <v>0.3 ml/uur</v>
      </c>
      <c r="O33" s="154"/>
      <c r="P33" s="154"/>
      <c r="Q33" s="154"/>
      <c r="R33" s="154">
        <f t="shared" si="3"/>
        <v>7.1999999999999993</v>
      </c>
      <c r="S33" s="455">
        <f>IF($E33&gt;1,VLOOKUP($M33,Tbl_Glob_ParEnt,S$1,FALSE),0)*$R33</f>
        <v>0</v>
      </c>
      <c r="T33" s="455">
        <f>IF($E33&gt;1,VLOOKUP($M33,Tbl_Glob_ParEnt,T$1,FALSE),0)*$R33</f>
        <v>0</v>
      </c>
      <c r="U33" s="455">
        <f>IF($E33&gt;1,VLOOKUP($M33,Tbl_Glob_ParEnt,U$1,FALSE),0)*$R33</f>
        <v>0</v>
      </c>
      <c r="V33" s="455">
        <f>IF($E33&gt;1,VLOOKUP($M33,Tbl_Glob_ParEnt,V$1,FALSE),0)*$R33</f>
        <v>0</v>
      </c>
      <c r="W33" s="455">
        <f>IF($E33&gt;1,VLOOKUP($M33,Tbl_Glob_ParEnt,W$1,FALSE),0)*$R33</f>
        <v>0</v>
      </c>
      <c r="X33" s="455">
        <f>IF($E33&gt;1,VLOOKUP($M33,Tbl_Glob_ParEnt,X$1,FALSE),0)*$R33</f>
        <v>0</v>
      </c>
      <c r="Y33" s="455">
        <f>IF($E33&gt;1,VLOOKUP($M33,Tbl_Glob_ParEnt,Y$1,FALSE),0)*$R33</f>
        <v>2.5199999999999996</v>
      </c>
      <c r="Z33" s="455">
        <f>IF($E33&gt;1,VLOOKUP($M33,Tbl_Glob_ParEnt,Z$1,FALSE),0)*$R33</f>
        <v>0</v>
      </c>
      <c r="AA33" s="455">
        <f>IF($E33&gt;1,VLOOKUP($M33,Tbl_Glob_ParEnt,AA$1,FALSE),0)*$R33</f>
        <v>10.079999999999998</v>
      </c>
      <c r="AB33" s="455">
        <f>IF($E33&gt;1,VLOOKUP($M33,Tbl_Glob_ParEnt,AB$1,FALSE),0)*$R33</f>
        <v>0</v>
      </c>
      <c r="AC33" s="455">
        <f>IF($E33&gt;1,VLOOKUP($M33,Tbl_Glob_ParEnt,AC$1,FALSE),0)*$R33</f>
        <v>0</v>
      </c>
      <c r="AD33" s="455">
        <f>IF($E33&gt;1,VLOOKUP($M33,Tbl_Glob_ParEnt,AD$1,FALSE),0)*$R33</f>
        <v>0</v>
      </c>
      <c r="AE33" s="154">
        <f>ROUND(IF(AF33*10&gt;1,AF33*10,AF33*600),0)</f>
        <v>0</v>
      </c>
      <c r="AF33" s="154">
        <f t="shared" si="4"/>
        <v>0</v>
      </c>
      <c r="AH33" s="455" t="str">
        <f t="shared" ref="AH33:AH34" si="8">IF(M33="","",CONCATENATE(A33," ",M33," ",N33))</f>
        <v>Zijlijn 2 glucose 35% 0.3 ml/uur</v>
      </c>
    </row>
    <row r="34" spans="1:42" x14ac:dyDescent="0.2">
      <c r="A34" s="154" t="s">
        <v>554</v>
      </c>
      <c r="E34" s="154">
        <v>6</v>
      </c>
      <c r="F34" s="154">
        <v>2</v>
      </c>
      <c r="I34" s="154" t="b">
        <v>0</v>
      </c>
      <c r="J34" s="154"/>
      <c r="K34" s="154"/>
      <c r="L34" s="154"/>
      <c r="M34" s="455" t="str">
        <f>IF(E34&gt;1,INDEX(Tbl_Neo_OplVlst,E34,1),"")</f>
        <v>glucose 25%</v>
      </c>
      <c r="N34" s="455" t="str">
        <f t="shared" si="7"/>
        <v>0.2 ml/uur</v>
      </c>
      <c r="O34" s="154"/>
      <c r="P34" s="154"/>
      <c r="Q34" s="154"/>
      <c r="R34" s="154">
        <f t="shared" si="3"/>
        <v>4.8</v>
      </c>
      <c r="S34" s="455">
        <f>IF($E34&gt;1,VLOOKUP($M34,Tbl_Glob_ParEnt,S$1,FALSE),0)*$R34</f>
        <v>0</v>
      </c>
      <c r="T34" s="455">
        <f>IF($E34&gt;1,VLOOKUP($M34,Tbl_Glob_ParEnt,T$1,FALSE),0)*$R34</f>
        <v>0</v>
      </c>
      <c r="U34" s="455">
        <f>IF($E34&gt;1,VLOOKUP($M34,Tbl_Glob_ParEnt,U$1,FALSE),0)*$R34</f>
        <v>0</v>
      </c>
      <c r="V34" s="455">
        <f>IF($E34&gt;1,VLOOKUP($M34,Tbl_Glob_ParEnt,V$1,FALSE),0)*$R34</f>
        <v>0</v>
      </c>
      <c r="W34" s="455">
        <f>IF($E34&gt;1,VLOOKUP($M34,Tbl_Glob_ParEnt,W$1,FALSE),0)*$R34</f>
        <v>0</v>
      </c>
      <c r="X34" s="455">
        <f>IF($E34&gt;1,VLOOKUP($M34,Tbl_Glob_ParEnt,X$1,FALSE),0)*$R34</f>
        <v>0</v>
      </c>
      <c r="Y34" s="455">
        <f>IF($E34&gt;1,VLOOKUP($M34,Tbl_Glob_ParEnt,Y$1,FALSE),0)*$R34</f>
        <v>1.2</v>
      </c>
      <c r="Z34" s="455">
        <f>IF($E34&gt;1,VLOOKUP($M34,Tbl_Glob_ParEnt,Z$1,FALSE),0)*$R34</f>
        <v>0</v>
      </c>
      <c r="AA34" s="455">
        <f>IF($E34&gt;1,VLOOKUP($M34,Tbl_Glob_ParEnt,AA$1,FALSE),0)*$R34</f>
        <v>4.8</v>
      </c>
      <c r="AB34" s="455">
        <f>IF($E34&gt;1,VLOOKUP($M34,Tbl_Glob_ParEnt,AB$1,FALSE),0)*$R34</f>
        <v>0</v>
      </c>
      <c r="AC34" s="455">
        <f>IF($E34&gt;1,VLOOKUP($M34,Tbl_Glob_ParEnt,AC$1,FALSE),0)*$R34</f>
        <v>0</v>
      </c>
      <c r="AD34" s="455">
        <f>IF($E34&gt;1,VLOOKUP($M34,Tbl_Glob_ParEnt,AD$1,FALSE),0)*$R34</f>
        <v>0</v>
      </c>
      <c r="AE34" s="154">
        <f>ROUND(IF(AF34*10&gt;1,AF34*10,AF34*600),0)</f>
        <v>0</v>
      </c>
      <c r="AF34" s="154">
        <f t="shared" si="4"/>
        <v>0</v>
      </c>
      <c r="AH34" s="455" t="str">
        <f t="shared" si="8"/>
        <v>Zijlijn 3 glucose 25% 0.2 ml/uur</v>
      </c>
    </row>
    <row r="35" spans="1:42" x14ac:dyDescent="0.2">
      <c r="A35" s="388" t="s">
        <v>990</v>
      </c>
      <c r="AH35" s="154" t="str">
        <f>IF(B35="","",B35)</f>
        <v/>
      </c>
    </row>
    <row r="36" spans="1:42" x14ac:dyDescent="0.2">
      <c r="A36" s="388" t="s">
        <v>991</v>
      </c>
      <c r="AH36" s="436" t="str">
        <f>IF(B36="","",B36)</f>
        <v/>
      </c>
    </row>
    <row r="37" spans="1:42" s="455" customFormat="1" x14ac:dyDescent="0.2"/>
    <row r="38" spans="1:42" x14ac:dyDescent="0.2">
      <c r="A38" s="154" t="s">
        <v>226</v>
      </c>
      <c r="B38" s="154" t="s">
        <v>539</v>
      </c>
      <c r="C38" s="154" t="s">
        <v>51</v>
      </c>
      <c r="D38" s="154" t="s">
        <v>5365</v>
      </c>
      <c r="F38" s="154" t="s">
        <v>998</v>
      </c>
      <c r="AI38" s="455"/>
    </row>
    <row r="39" spans="1:42" x14ac:dyDescent="0.2">
      <c r="A39" s="154" t="str">
        <f>INDEX(tbl_Neo_IntralipidSmof,Var_Neo_InfB_TPN_IntralipidSmof)</f>
        <v>Intralipid 20% (incl vitintra)</v>
      </c>
      <c r="B39" s="305">
        <f ca="1">ROUND((_Pat_Gewicht/10)*INDEX(NeoBerAdvies!$B$8:$G$15,8,$C$4),0)</f>
        <v>0</v>
      </c>
      <c r="C39" s="154">
        <f ca="1">ROUND(IF(AND(B21,B39+(D39-5000)&gt;0),B39+(D39-5000),0),0)</f>
        <v>1</v>
      </c>
      <c r="D39" s="154">
        <v>5001</v>
      </c>
      <c r="F39" s="154">
        <v>1</v>
      </c>
      <c r="M39" s="455" t="s">
        <v>192</v>
      </c>
      <c r="N39" s="455" t="str">
        <f ca="1">IF(C39&gt;0,C39/10&amp;" ml/uur","")</f>
        <v>0.1 ml/uur</v>
      </c>
      <c r="R39" s="154">
        <f ca="1">C39</f>
        <v>1</v>
      </c>
      <c r="S39" s="455">
        <f ca="1">IF($C39&gt;0,VLOOKUP($M39,Tbl_Glob_ParEnt,S$1,FALSE),0)*$R39</f>
        <v>0</v>
      </c>
      <c r="T39" s="455">
        <f ca="1">IF($C39&gt;0,VLOOKUP($M39,Tbl_Glob_ParEnt,T$1,FALSE),0)*$R39</f>
        <v>0</v>
      </c>
      <c r="U39" s="455">
        <f ca="1">IF($C39&gt;0,VLOOKUP($M39,Tbl_Glob_ParEnt,U$1,FALSE),0)*$R39</f>
        <v>0</v>
      </c>
      <c r="V39" s="455">
        <f ca="1">IF($C39&gt;0,VLOOKUP($M39,Tbl_Glob_ParEnt,V$1,FALSE),0)*$R39</f>
        <v>0</v>
      </c>
      <c r="W39" s="455">
        <f ca="1">IF($C39&gt;0,VLOOKUP($M39,Tbl_Glob_ParEnt,W$1,FALSE),0)*$R39</f>
        <v>0</v>
      </c>
      <c r="X39" s="455">
        <f ca="1">IF($C39&gt;0,VLOOKUP($M39,Tbl_Glob_ParEnt,X$1,FALSE),0)*$R39</f>
        <v>0</v>
      </c>
      <c r="Y39" s="455">
        <f ca="1">IF($C39&gt;0,VLOOKUP($M39,Tbl_Glob_ParEnt,Y$1,FALSE),0)*$R39</f>
        <v>0</v>
      </c>
      <c r="Z39" s="455">
        <f ca="1">IF($C39&gt;0,VLOOKUP($M39,Tbl_Glob_ParEnt,Z$1,FALSE),0)*$R39</f>
        <v>0.2</v>
      </c>
      <c r="AA39" s="455">
        <f ca="1">IF($C39&gt;0,VLOOKUP($M39,Tbl_Glob_ParEnt,AA$1,FALSE),0)*$R39</f>
        <v>1.8</v>
      </c>
      <c r="AB39" s="455">
        <f ca="1">IF($C39&gt;0,VLOOKUP($M39,Tbl_Glob_ParEnt,AB$1,FALSE),0)*$R39</f>
        <v>0</v>
      </c>
      <c r="AC39" s="455">
        <f ca="1">IF($C39&gt;0,VLOOKUP($M39,Tbl_Glob_ParEnt,AC$1,FALSE),0)*$R39</f>
        <v>0</v>
      </c>
      <c r="AD39" s="455">
        <f ca="1">IF($C39&gt;0,VLOOKUP($M39,Tbl_Glob_ParEnt,AD$1,FALSE),0)*$R39</f>
        <v>0</v>
      </c>
      <c r="AH39" s="154" t="str">
        <f ca="1">IF(C39&lt;&gt;0,CONCATENATE("Intralipid 20% (incl.vitintra) ",ROUNDUP(C39/24,1)," ml/uur"),"")</f>
        <v>Intralipid 20% (incl.vitintra) 0.1 ml/uur</v>
      </c>
      <c r="AI39" s="455"/>
    </row>
    <row r="40" spans="1:42" x14ac:dyDescent="0.2">
      <c r="A40" s="154" t="s">
        <v>5370</v>
      </c>
      <c r="B40" s="305"/>
      <c r="D40" s="154">
        <v>1</v>
      </c>
      <c r="N40" s="455" t="str">
        <f ca="1">IF(Var_Neo_InfB_TPN_Parenteraal,ROUND(SUM(R41:R49)/24,1)&amp;" ml/uur","")</f>
        <v>-3.2 ml/uur</v>
      </c>
      <c r="S40" s="455"/>
      <c r="T40" s="455"/>
      <c r="U40" s="455"/>
      <c r="V40" s="455"/>
      <c r="W40" s="455"/>
      <c r="X40" s="455"/>
      <c r="Y40" s="455"/>
      <c r="Z40" s="455"/>
      <c r="AA40" s="455"/>
      <c r="AB40" s="455"/>
      <c r="AC40" s="455"/>
      <c r="AH40" s="154" t="str">
        <f ca="1">IF(N40="","","TPN "&amp;N40)</f>
        <v>TPN -3.2 ml/uur</v>
      </c>
    </row>
    <row r="41" spans="1:42" x14ac:dyDescent="0.2">
      <c r="A41" s="154" t="s">
        <v>328</v>
      </c>
      <c r="B41" s="305">
        <f ca="1">ROUND((_Pat_Gewicht/10)*INDEX(NeoBerAdvies!$B$8:$G$15,2,$C$4),0)</f>
        <v>0</v>
      </c>
      <c r="C41" s="154">
        <f ca="1">IF(AND($B$21,B41+(D41-5000)/10&gt;0),ROUND(B41+(D41-5000)/10,1),0)</f>
        <v>3</v>
      </c>
      <c r="D41" s="154">
        <v>5030</v>
      </c>
      <c r="L41" s="455" t="str">
        <f ca="1">IF(C41&gt;0,C41&amp;" ml","")</f>
        <v>3 ml</v>
      </c>
      <c r="M41" s="455" t="str">
        <f t="shared" ref="M40:M49" si="9">A41</f>
        <v>NaCl 2,9%</v>
      </c>
      <c r="R41" s="154">
        <f ca="1">IF(OR($D$40=1,$D$40=3),C41,0)</f>
        <v>3</v>
      </c>
      <c r="S41" s="455">
        <f ca="1">IF($C41&gt;0,VLOOKUP($M41,Tbl_Glob_ParEnt,S$1,FALSE),0)*$R41</f>
        <v>1.5</v>
      </c>
      <c r="T41" s="455">
        <f ca="1">IF($C41&gt;0,VLOOKUP($M41,Tbl_Glob_ParEnt,T$1,FALSE),0)*$R41</f>
        <v>0</v>
      </c>
      <c r="U41" s="455">
        <f ca="1">IF($C41&gt;0,VLOOKUP($M41,Tbl_Glob_ParEnt,U$1,FALSE),0)*$R41</f>
        <v>0</v>
      </c>
      <c r="V41" s="455">
        <f ca="1">IF($C41&gt;0,VLOOKUP($M41,Tbl_Glob_ParEnt,V$1,FALSE),0)*$R41</f>
        <v>0</v>
      </c>
      <c r="W41" s="455">
        <f ca="1">IF($C41&gt;0,VLOOKUP($M41,Tbl_Glob_ParEnt,W$1,FALSE),0)*$R41</f>
        <v>0</v>
      </c>
      <c r="X41" s="455">
        <f ca="1">IF($C41&gt;0,VLOOKUP($M41,Tbl_Glob_ParEnt,X$1,FALSE),0)*$R41</f>
        <v>0</v>
      </c>
      <c r="Y41" s="455">
        <f ca="1">IF($C41&gt;0,VLOOKUP($M41,Tbl_Glob_ParEnt,Y$1,FALSE),0)*$R41</f>
        <v>0</v>
      </c>
      <c r="Z41" s="455">
        <f ca="1">IF($C41&gt;0,VLOOKUP($M41,Tbl_Glob_ParEnt,Z$1,FALSE),0)*$R41</f>
        <v>0</v>
      </c>
      <c r="AA41" s="455">
        <f ca="1">IF($C41&gt;0,VLOOKUP($M41,Tbl_Glob_ParEnt,AA$1,FALSE),0)*$R41</f>
        <v>0</v>
      </c>
      <c r="AB41" s="455">
        <f ca="1">IF($C41&gt;0,VLOOKUP($M41,Tbl_Glob_ParEnt,AB$1,FALSE),0)*$R41</f>
        <v>1.5</v>
      </c>
      <c r="AC41" s="455">
        <f ca="1">IF($C41&gt;0,VLOOKUP($M41,Tbl_Glob_ParEnt,AC$1,FALSE),0)*$R41</f>
        <v>0</v>
      </c>
      <c r="AD41" s="455">
        <f ca="1">IF($C41&gt;0,VLOOKUP($M41,Tbl_Glob_ParEnt,AD$1,FALSE),0)*$R41</f>
        <v>0</v>
      </c>
      <c r="AF41" s="843"/>
      <c r="AG41" s="843"/>
      <c r="AH41" s="154" t="str">
        <f ca="1">IF(L41="","",M41&amp;" "&amp;L41)</f>
        <v>NaCl 2,9% 3 ml</v>
      </c>
      <c r="AJ41" s="843"/>
      <c r="AK41" s="843"/>
      <c r="AL41" s="843"/>
      <c r="AM41" s="843"/>
      <c r="AN41" s="843"/>
      <c r="AO41" s="843"/>
      <c r="AP41" s="843"/>
    </row>
    <row r="42" spans="1:42" x14ac:dyDescent="0.2">
      <c r="A42" s="154" t="s">
        <v>557</v>
      </c>
      <c r="B42" s="305">
        <f ca="1">ROUND((_Pat_Gewicht/10)*INDEX(NeoBerAdvies!$B$8:$G$15,3,$C$4),0)</f>
        <v>0</v>
      </c>
      <c r="C42" s="154">
        <f ca="1">IF(AND($B$21,B42+(D42-5000)/10&gt;0),ROUND(B42+(D42-5000)/10,1),0)</f>
        <v>1</v>
      </c>
      <c r="D42" s="154">
        <v>5010</v>
      </c>
      <c r="L42" s="455" t="str">
        <f t="shared" ref="L42:L48" ca="1" si="10">IF(C42&gt;0,C42&amp;" ml","")</f>
        <v>1 ml</v>
      </c>
      <c r="M42" s="455" t="str">
        <f t="shared" si="9"/>
        <v>Kacetaat</v>
      </c>
      <c r="R42" s="154">
        <f ca="1">IF(OR($D$40=1,$D$40=3),C42,0)</f>
        <v>1</v>
      </c>
      <c r="S42" s="455">
        <f ca="1">IF($C42&gt;0,VLOOKUP($M42,Tbl_Glob_ParEnt,S$1,FALSE),0)*$R42</f>
        <v>0</v>
      </c>
      <c r="T42" s="455">
        <f ca="1">IF($C42&gt;0,VLOOKUP($M42,Tbl_Glob_ParEnt,T$1,FALSE),0)*$R42</f>
        <v>1</v>
      </c>
      <c r="U42" s="455">
        <f ca="1">IF($C42&gt;0,VLOOKUP($M42,Tbl_Glob_ParEnt,U$1,FALSE),0)*$R42</f>
        <v>0</v>
      </c>
      <c r="V42" s="455">
        <f ca="1">IF($C42&gt;0,VLOOKUP($M42,Tbl_Glob_ParEnt,V$1,FALSE),0)*$R42</f>
        <v>0</v>
      </c>
      <c r="W42" s="455">
        <f ca="1">IF($C42&gt;0,VLOOKUP($M42,Tbl_Glob_ParEnt,W$1,FALSE),0)*$R42</f>
        <v>0</v>
      </c>
      <c r="X42" s="455">
        <f ca="1">IF($C42&gt;0,VLOOKUP($M42,Tbl_Glob_ParEnt,X$1,FALSE),0)*$R42</f>
        <v>0</v>
      </c>
      <c r="Y42" s="455">
        <f ca="1">IF($C42&gt;0,VLOOKUP($M42,Tbl_Glob_ParEnt,Y$1,FALSE),0)*$R42</f>
        <v>0</v>
      </c>
      <c r="Z42" s="455">
        <f ca="1">IF($C42&gt;0,VLOOKUP($M42,Tbl_Glob_ParEnt,Z$1,FALSE),0)*$R42</f>
        <v>0</v>
      </c>
      <c r="AA42" s="455">
        <f ca="1">IF($C42&gt;0,VLOOKUP($M42,Tbl_Glob_ParEnt,AA$1,FALSE),0)*$R42</f>
        <v>0</v>
      </c>
      <c r="AB42" s="455">
        <f ca="1">IF($C42&gt;0,VLOOKUP($M42,Tbl_Glob_ParEnt,AB$1,FALSE),0)*$R42</f>
        <v>0</v>
      </c>
      <c r="AC42" s="455">
        <f ca="1">IF($C42&gt;0,VLOOKUP($M42,Tbl_Glob_ParEnt,AC$1,FALSE),0)*$R42</f>
        <v>0</v>
      </c>
      <c r="AD42" s="455">
        <f ca="1">IF($C42&gt;0,VLOOKUP($M42,Tbl_Glob_ParEnt,AD$1,FALSE),0)*$R42</f>
        <v>0</v>
      </c>
      <c r="AH42" s="455" t="str">
        <f t="shared" ref="AH42:AH49" ca="1" si="11">IF(L42="","",M42&amp;" "&amp;L42)</f>
        <v>Kacetaat 1 ml</v>
      </c>
    </row>
    <row r="43" spans="1:42" x14ac:dyDescent="0.2">
      <c r="A43" s="154" t="s">
        <v>558</v>
      </c>
      <c r="B43" s="305">
        <f ca="1">ROUND((_Pat_Gewicht/10)*INDEX(NeoBerAdvies!$B$8:$G$15,4,$C$4),0)</f>
        <v>0</v>
      </c>
      <c r="C43" s="154">
        <f ca="1">IF(AND($B$21,B43+(D43-5000)/10&gt;0),ROUND(B43+(D43-5000)/10,1),0)</f>
        <v>1</v>
      </c>
      <c r="D43" s="154">
        <v>5010</v>
      </c>
      <c r="L43" s="455" t="str">
        <f t="shared" ca="1" si="10"/>
        <v>1 ml</v>
      </c>
      <c r="M43" s="455" t="str">
        <f t="shared" si="9"/>
        <v>CaCl2</v>
      </c>
      <c r="R43" s="154">
        <f ca="1">IF($D$40=1,C43,0)</f>
        <v>1</v>
      </c>
      <c r="S43" s="455">
        <f ca="1">IF($C43&gt;0,VLOOKUP($M43,Tbl_Glob_ParEnt,S$1,FALSE),0)*$R43</f>
        <v>0</v>
      </c>
      <c r="T43" s="455">
        <f ca="1">IF($C43&gt;0,VLOOKUP($M43,Tbl_Glob_ParEnt,T$1,FALSE),0)*$R43</f>
        <v>0</v>
      </c>
      <c r="U43" s="455">
        <f ca="1">IF($C43&gt;0,VLOOKUP($M43,Tbl_Glob_ParEnt,U$1,FALSE),0)*$R43</f>
        <v>0.22500000000000001</v>
      </c>
      <c r="V43" s="455">
        <f ca="1">IF($C43&gt;0,VLOOKUP($M43,Tbl_Glob_ParEnt,V$1,FALSE),0)*$R43</f>
        <v>0</v>
      </c>
      <c r="W43" s="455">
        <f ca="1">IF($C43&gt;0,VLOOKUP($M43,Tbl_Glob_ParEnt,W$1,FALSE),0)*$R43</f>
        <v>0</v>
      </c>
      <c r="X43" s="455">
        <f ca="1">IF($C43&gt;0,VLOOKUP($M43,Tbl_Glob_ParEnt,X$1,FALSE),0)*$R43</f>
        <v>0</v>
      </c>
      <c r="Y43" s="455">
        <f ca="1">IF($C43&gt;0,VLOOKUP($M43,Tbl_Glob_ParEnt,Y$1,FALSE),0)*$R43</f>
        <v>0</v>
      </c>
      <c r="Z43" s="455">
        <f ca="1">IF($C43&gt;0,VLOOKUP($M43,Tbl_Glob_ParEnt,Z$1,FALSE),0)*$R43</f>
        <v>0</v>
      </c>
      <c r="AA43" s="455">
        <f ca="1">IF($C43&gt;0,VLOOKUP($M43,Tbl_Glob_ParEnt,AA$1,FALSE),0)*$R43</f>
        <v>0</v>
      </c>
      <c r="AB43" s="455">
        <f ca="1">IF($C43&gt;0,VLOOKUP($M43,Tbl_Glob_ParEnt,AB$1,FALSE),0)*$R43</f>
        <v>0.45</v>
      </c>
      <c r="AC43" s="455">
        <f ca="1">IF($C43&gt;0,VLOOKUP($M43,Tbl_Glob_ParEnt,AC$1,FALSE),0)*$R43</f>
        <v>0</v>
      </c>
      <c r="AD43" s="455">
        <f ca="1">IF($C43&gt;0,VLOOKUP($M43,Tbl_Glob_ParEnt,AD$1,FALSE),0)*$R43</f>
        <v>0</v>
      </c>
      <c r="AH43" s="455" t="str">
        <f t="shared" ca="1" si="11"/>
        <v>CaCl2 1 ml</v>
      </c>
      <c r="AI43" s="843"/>
    </row>
    <row r="44" spans="1:42" x14ac:dyDescent="0.2">
      <c r="A44" s="154" t="s">
        <v>559</v>
      </c>
      <c r="B44" s="305">
        <f ca="1">ROUND((_Pat_Gewicht/10)*INDEX(NeoBerAdvies!$B$8:$G$15,5,$C$4),1)</f>
        <v>0</v>
      </c>
      <c r="C44" s="154">
        <f ca="1">IF(AND($B$21,B44+(D44-5000)/10&gt;0),ROUND(B44+(D44-5000)/10,1),0)</f>
        <v>1</v>
      </c>
      <c r="D44" s="154">
        <v>5010</v>
      </c>
      <c r="L44" s="455" t="str">
        <f t="shared" ca="1" si="10"/>
        <v>1 ml</v>
      </c>
      <c r="M44" s="455" t="str">
        <f t="shared" si="9"/>
        <v>MgCl2</v>
      </c>
      <c r="R44" s="154">
        <f ca="1">IF($D$40=1,C44,0)</f>
        <v>1</v>
      </c>
      <c r="S44" s="455">
        <f ca="1">IF($C44&gt;0,VLOOKUP($M44,Tbl_Glob_ParEnt,S$1,FALSE),0)*$R44</f>
        <v>0</v>
      </c>
      <c r="T44" s="455">
        <f ca="1">IF($C44&gt;0,VLOOKUP($M44,Tbl_Glob_ParEnt,T$1,FALSE),0)*$R44</f>
        <v>0</v>
      </c>
      <c r="U44" s="455">
        <f ca="1">IF($C44&gt;0,VLOOKUP($M44,Tbl_Glob_ParEnt,U$1,FALSE),0)*$R44</f>
        <v>0</v>
      </c>
      <c r="V44" s="455">
        <f ca="1">IF($C44&gt;0,VLOOKUP($M44,Tbl_Glob_ParEnt,V$1,FALSE),0)*$R44</f>
        <v>0.5</v>
      </c>
      <c r="W44" s="455">
        <f ca="1">IF($C44&gt;0,VLOOKUP($M44,Tbl_Glob_ParEnt,W$1,FALSE),0)*$R44</f>
        <v>0</v>
      </c>
      <c r="X44" s="455">
        <f ca="1">IF($C44&gt;0,VLOOKUP($M44,Tbl_Glob_ParEnt,X$1,FALSE),0)*$R44</f>
        <v>0</v>
      </c>
      <c r="Y44" s="455">
        <f ca="1">IF($C44&gt;0,VLOOKUP($M44,Tbl_Glob_ParEnt,Y$1,FALSE),0)*$R44</f>
        <v>0</v>
      </c>
      <c r="Z44" s="455">
        <f ca="1">IF($C44&gt;0,VLOOKUP($M44,Tbl_Glob_ParEnt,Z$1,FALSE),0)*$R44</f>
        <v>0</v>
      </c>
      <c r="AA44" s="455">
        <f ca="1">IF($C44&gt;0,VLOOKUP($M44,Tbl_Glob_ParEnt,AA$1,FALSE),0)*$R44</f>
        <v>0</v>
      </c>
      <c r="AB44" s="455">
        <f ca="1">IF($C44&gt;0,VLOOKUP($M44,Tbl_Glob_ParEnt,AB$1,FALSE),0)*$R44</f>
        <v>1</v>
      </c>
      <c r="AC44" s="455">
        <f ca="1">IF($C44&gt;0,VLOOKUP($M44,Tbl_Glob_ParEnt,AC$1,FALSE),0)*$R44</f>
        <v>0</v>
      </c>
      <c r="AD44" s="455">
        <f ca="1">IF($C44&gt;0,VLOOKUP($M44,Tbl_Glob_ParEnt,AD$1,FALSE),0)*$R44</f>
        <v>0</v>
      </c>
      <c r="AH44" s="455" t="str">
        <f t="shared" ca="1" si="11"/>
        <v>MgCl2 1 ml</v>
      </c>
    </row>
    <row r="45" spans="1:42" x14ac:dyDescent="0.2">
      <c r="A45" s="154" t="s">
        <v>194</v>
      </c>
      <c r="B45" s="305">
        <f ca="1">ROUND((_Pat_Gewicht/10)*INDEX(NeoBerAdvies!$B$8:$G$15,6,$C$4),1)</f>
        <v>0</v>
      </c>
      <c r="C45" s="154">
        <f ca="1">IF(AND($B$21,B45+(D45-5000)/10&gt;0),ROUND(B45+(D45-5000)/10,1),0)</f>
        <v>1</v>
      </c>
      <c r="D45" s="154">
        <v>5010</v>
      </c>
      <c r="L45" s="455" t="str">
        <f t="shared" ca="1" si="10"/>
        <v>1 ml</v>
      </c>
      <c r="M45" s="455" t="str">
        <f t="shared" si="9"/>
        <v>Soluvit</v>
      </c>
      <c r="R45" s="154">
        <f ca="1">IF($D$40=1,C45,0)</f>
        <v>1</v>
      </c>
      <c r="S45" s="455">
        <f ca="1">IF($C45&gt;0,VLOOKUP($M45,Tbl_Glob_ParEnt,S$1,FALSE),0)*$R45</f>
        <v>0</v>
      </c>
      <c r="T45" s="455">
        <f ca="1">IF($C45&gt;0,VLOOKUP($M45,Tbl_Glob_ParEnt,T$1,FALSE),0)*$R45</f>
        <v>0</v>
      </c>
      <c r="U45" s="455">
        <f ca="1">IF($C45&gt;0,VLOOKUP($M45,Tbl_Glob_ParEnt,U$1,FALSE),0)*$R45</f>
        <v>0</v>
      </c>
      <c r="V45" s="455">
        <f ca="1">IF($C45&gt;0,VLOOKUP($M45,Tbl_Glob_ParEnt,V$1,FALSE),0)*$R45</f>
        <v>0</v>
      </c>
      <c r="W45" s="455">
        <f ca="1">IF($C45&gt;0,VLOOKUP($M45,Tbl_Glob_ParEnt,W$1,FALSE),0)*$R45</f>
        <v>0</v>
      </c>
      <c r="X45" s="455">
        <f ca="1">IF($C45&gt;0,VLOOKUP($M45,Tbl_Glob_ParEnt,X$1,FALSE),0)*$R45</f>
        <v>0</v>
      </c>
      <c r="Y45" s="455">
        <f ca="1">IF($C45&gt;0,VLOOKUP($M45,Tbl_Glob_ParEnt,Y$1,FALSE),0)*$R45</f>
        <v>0</v>
      </c>
      <c r="Z45" s="455">
        <f ca="1">IF($C45&gt;0,VLOOKUP($M45,Tbl_Glob_ParEnt,Z$1,FALSE),0)*$R45</f>
        <v>0</v>
      </c>
      <c r="AA45" s="455">
        <f ca="1">IF($C45&gt;0,VLOOKUP($M45,Tbl_Glob_ParEnt,AA$1,FALSE),0)*$R45</f>
        <v>0</v>
      </c>
      <c r="AB45" s="455">
        <f ca="1">IF($C45&gt;0,VLOOKUP($M45,Tbl_Glob_ParEnt,AB$1,FALSE),0)*$R45</f>
        <v>0</v>
      </c>
      <c r="AC45" s="455">
        <f ca="1">IF($C45&gt;0,VLOOKUP($M45,Tbl_Glob_ParEnt,AC$1,FALSE),0)*$R45</f>
        <v>0</v>
      </c>
      <c r="AD45" s="455">
        <f ca="1">IF($C45&gt;0,VLOOKUP($M45,Tbl_Glob_ParEnt,AD$1,FALSE),0)*$R45</f>
        <v>0</v>
      </c>
      <c r="AH45" s="455" t="str">
        <f t="shared" ca="1" si="11"/>
        <v>Soluvit 1 ml</v>
      </c>
    </row>
    <row r="46" spans="1:42" x14ac:dyDescent="0.2">
      <c r="A46" s="154" t="s">
        <v>514</v>
      </c>
      <c r="B46" s="305">
        <f ca="1">ROUND((_Pat_Gewicht/10)*INDEX(NeoBerAdvies!$B$8:$G$15,7,$C$4),0)</f>
        <v>0</v>
      </c>
      <c r="C46" s="154">
        <f ca="1">IF(AND($B$21,B46+(D46-5000)&gt;0),ROUND(B46+(D46-5000),0),0)</f>
        <v>1</v>
      </c>
      <c r="D46" s="154">
        <v>5001</v>
      </c>
      <c r="L46" s="455" t="str">
        <f t="shared" ca="1" si="10"/>
        <v>1 ml</v>
      </c>
      <c r="M46" s="455" t="str">
        <f t="shared" si="9"/>
        <v>Primene</v>
      </c>
      <c r="R46" s="154">
        <f ca="1">IF($D$40=1,C46,0)</f>
        <v>1</v>
      </c>
      <c r="S46" s="455">
        <f ca="1">IF($C46&gt;0,VLOOKUP($M46,Tbl_Glob_ParEnt,S$1,FALSE),0)*$R46</f>
        <v>0</v>
      </c>
      <c r="T46" s="455">
        <f ca="1">IF($C46&gt;0,VLOOKUP($M46,Tbl_Glob_ParEnt,T$1,FALSE),0)*$R46</f>
        <v>0</v>
      </c>
      <c r="U46" s="455">
        <f ca="1">IF($C46&gt;0,VLOOKUP($M46,Tbl_Glob_ParEnt,U$1,FALSE),0)*$R46</f>
        <v>0</v>
      </c>
      <c r="V46" s="455">
        <f ca="1">IF($C46&gt;0,VLOOKUP($M46,Tbl_Glob_ParEnt,V$1,FALSE),0)*$R46</f>
        <v>0</v>
      </c>
      <c r="W46" s="455">
        <f ca="1">IF($C46&gt;0,VLOOKUP($M46,Tbl_Glob_ParEnt,W$1,FALSE),0)*$R46</f>
        <v>0</v>
      </c>
      <c r="X46" s="455">
        <f ca="1">IF($C46&gt;0,VLOOKUP($M46,Tbl_Glob_ParEnt,X$1,FALSE),0)*$R46</f>
        <v>0.1</v>
      </c>
      <c r="Y46" s="455">
        <f ca="1">IF($C46&gt;0,VLOOKUP($M46,Tbl_Glob_ParEnt,Y$1,FALSE),0)*$R46</f>
        <v>0</v>
      </c>
      <c r="Z46" s="455">
        <f ca="1">IF($C46&gt;0,VLOOKUP($M46,Tbl_Glob_ParEnt,Z$1,FALSE),0)*$R46</f>
        <v>0</v>
      </c>
      <c r="AA46" s="455">
        <f ca="1">IF($C46&gt;0,VLOOKUP($M46,Tbl_Glob_ParEnt,AA$1,FALSE),0)*$R46</f>
        <v>0</v>
      </c>
      <c r="AB46" s="455">
        <f ca="1">IF($C46&gt;0,VLOOKUP($M46,Tbl_Glob_ParEnt,AB$1,FALSE),0)*$R46</f>
        <v>0</v>
      </c>
      <c r="AC46" s="455">
        <f ca="1">IF($C46&gt;0,VLOOKUP($M46,Tbl_Glob_ParEnt,AC$1,FALSE),0)*$R46</f>
        <v>40</v>
      </c>
      <c r="AD46" s="455">
        <f ca="1">IF($C46&gt;0,VLOOKUP($M46,Tbl_Glob_ParEnt,AD$1,FALSE),0)*$R46</f>
        <v>0</v>
      </c>
      <c r="AH46" s="455" t="str">
        <f t="shared" ca="1" si="11"/>
        <v>Primene 1 ml</v>
      </c>
    </row>
    <row r="47" spans="1:42" x14ac:dyDescent="0.2">
      <c r="A47" s="154" t="s">
        <v>515</v>
      </c>
      <c r="B47" s="305">
        <f ca="1">ROUND((_Pat_Gewicht/10)*INDEX(NeoBerAdvies!$B$8:$G$15,1,$C$4),1)</f>
        <v>0</v>
      </c>
      <c r="C47" s="154">
        <f ca="1">ROUND(IF(AND($B$21,B47+(D47-5000)&gt;0),B47+(D47-5000),0),0)</f>
        <v>0</v>
      </c>
      <c r="D47" s="154">
        <v>5000</v>
      </c>
      <c r="L47" s="455" t="str">
        <f t="shared" ca="1" si="10"/>
        <v/>
      </c>
      <c r="M47" s="455" t="s">
        <v>589</v>
      </c>
      <c r="R47" s="154">
        <f>IF(D40=2,C47,0)</f>
        <v>0</v>
      </c>
      <c r="S47" s="455">
        <f ca="1">IF($C47&gt;0,VLOOKUP($M47,Tbl_Glob_ParEnt,S$1,FALSE),0)*$R47</f>
        <v>0</v>
      </c>
      <c r="T47" s="455">
        <f ca="1">IF($C47&gt;0,VLOOKUP($M47,Tbl_Glob_ParEnt,T$1,FALSE),0)*$R47</f>
        <v>0</v>
      </c>
      <c r="U47" s="455">
        <f ca="1">IF($C47&gt;0,VLOOKUP($M47,Tbl_Glob_ParEnt,U$1,FALSE),0)*$R47</f>
        <v>0</v>
      </c>
      <c r="V47" s="455">
        <f ca="1">IF($C47&gt;0,VLOOKUP($M47,Tbl_Glob_ParEnt,V$1,FALSE),0)*$R47</f>
        <v>0</v>
      </c>
      <c r="W47" s="455">
        <f ca="1">IF($C47&gt;0,VLOOKUP($M47,Tbl_Glob_ParEnt,W$1,FALSE),0)*$R47</f>
        <v>0</v>
      </c>
      <c r="X47" s="455">
        <f ca="1">IF($C47&gt;0,VLOOKUP($M47,Tbl_Glob_ParEnt,X$1,FALSE),0)*$R47</f>
        <v>0</v>
      </c>
      <c r="Y47" s="455">
        <f ca="1">IF($C47&gt;0,VLOOKUP($M47,Tbl_Glob_ParEnt,Y$1,FALSE),0)*$R47</f>
        <v>0</v>
      </c>
      <c r="Z47" s="455">
        <f ca="1">IF($C47&gt;0,VLOOKUP($M47,Tbl_Glob_ParEnt,Z$1,FALSE),0)*$R47</f>
        <v>0</v>
      </c>
      <c r="AA47" s="455">
        <f ca="1">IF($C47&gt;0,VLOOKUP($M47,Tbl_Glob_ParEnt,AA$1,FALSE),0)*$R47</f>
        <v>0</v>
      </c>
      <c r="AB47" s="455">
        <f ca="1">IF($C47&gt;0,VLOOKUP($M47,Tbl_Glob_ParEnt,AB$1,FALSE),0)*$R47</f>
        <v>0</v>
      </c>
      <c r="AC47" s="455">
        <f ca="1">IF($C47&gt;0,VLOOKUP($M47,Tbl_Glob_ParEnt,AC$1,FALSE),0)*$R47</f>
        <v>0</v>
      </c>
      <c r="AD47" s="455">
        <f ca="1">IF($C47&gt;0,VLOOKUP($M47,Tbl_Glob_ParEnt,AD$1,FALSE),0)*$R47</f>
        <v>0</v>
      </c>
      <c r="AH47" s="455" t="str">
        <f t="shared" ca="1" si="11"/>
        <v/>
      </c>
    </row>
    <row r="48" spans="1:42" x14ac:dyDescent="0.2">
      <c r="A48" s="154" t="s">
        <v>326</v>
      </c>
      <c r="B48" s="305">
        <f ca="1">ROUND((_Pat_Gewicht/10)*INDEX(NeoBerAdvies!$B$8:$G$15,1,$C$4),1)</f>
        <v>0</v>
      </c>
      <c r="C48" s="154">
        <f ca="1">ROUND(IF(AND($B$21,B48+(D48-5000)&gt;0),B48+(D48-5000),0),0)</f>
        <v>0</v>
      </c>
      <c r="D48" s="154">
        <v>5000</v>
      </c>
      <c r="L48" s="455" t="str">
        <f t="shared" ca="1" si="10"/>
        <v/>
      </c>
      <c r="M48" s="455" t="str">
        <f t="shared" si="9"/>
        <v>Samenstelling B</v>
      </c>
      <c r="R48" s="154">
        <f>IF(D40=3,C48,0)</f>
        <v>0</v>
      </c>
      <c r="S48" s="455">
        <f ca="1">IF($C48&gt;0,VLOOKUP($M48,Tbl_Glob_ParEnt,S$1,FALSE),0)*$R48</f>
        <v>0</v>
      </c>
      <c r="T48" s="455">
        <f ca="1">IF($C48&gt;0,VLOOKUP($M48,Tbl_Glob_ParEnt,T$1,FALSE),0)*$R48</f>
        <v>0</v>
      </c>
      <c r="U48" s="455">
        <f ca="1">IF($C48&gt;0,VLOOKUP($M48,Tbl_Glob_ParEnt,U$1,FALSE),0)*$R48</f>
        <v>0</v>
      </c>
      <c r="V48" s="455">
        <f ca="1">IF($C48&gt;0,VLOOKUP($M48,Tbl_Glob_ParEnt,V$1,FALSE),0)*$R48</f>
        <v>0</v>
      </c>
      <c r="W48" s="455">
        <f ca="1">IF($C48&gt;0,VLOOKUP($M48,Tbl_Glob_ParEnt,W$1,FALSE),0)*$R48</f>
        <v>0</v>
      </c>
      <c r="X48" s="455">
        <f ca="1">IF($C48&gt;0,VLOOKUP($M48,Tbl_Glob_ParEnt,X$1,FALSE),0)*$R48</f>
        <v>0</v>
      </c>
      <c r="Y48" s="455">
        <f ca="1">IF($C48&gt;0,VLOOKUP($M48,Tbl_Glob_ParEnt,Y$1,FALSE),0)*$R48</f>
        <v>0</v>
      </c>
      <c r="Z48" s="455">
        <f ca="1">IF($C48&gt;0,VLOOKUP($M48,Tbl_Glob_ParEnt,Z$1,FALSE),0)*$R48</f>
        <v>0</v>
      </c>
      <c r="AA48" s="455">
        <f ca="1">IF($C48&gt;0,VLOOKUP($M48,Tbl_Glob_ParEnt,AA$1,FALSE),0)*$R48</f>
        <v>0</v>
      </c>
      <c r="AB48" s="455">
        <f ca="1">IF($C48&gt;0,VLOOKUP($M48,Tbl_Glob_ParEnt,AB$1,FALSE),0)*$R48</f>
        <v>0</v>
      </c>
      <c r="AC48" s="455">
        <f ca="1">IF($C48&gt;0,VLOOKUP($M48,Tbl_Glob_ParEnt,AC$1,FALSE),0)*$R48</f>
        <v>0</v>
      </c>
      <c r="AD48" s="455">
        <f ca="1">IF($C48&gt;0,VLOOKUP($M48,Tbl_Glob_ParEnt,AD$1,FALSE),0)*$R48</f>
        <v>0</v>
      </c>
      <c r="AH48" s="455" t="str">
        <f t="shared" ca="1" si="11"/>
        <v/>
      </c>
    </row>
    <row r="49" spans="1:35" x14ac:dyDescent="0.2">
      <c r="A49" s="154" t="s">
        <v>604</v>
      </c>
      <c r="D49" s="154">
        <v>1</v>
      </c>
      <c r="L49" s="455" t="str">
        <f ca="1">IF(R49&gt;0,R49&amp;" ml","")</f>
        <v/>
      </c>
      <c r="M49" s="455" t="str">
        <f>IF(D49&gt;0,INDEX(Tbl_Neo_OplVlst,D49+1,1),"")</f>
        <v>glucose 5%</v>
      </c>
      <c r="N49" s="455" t="str">
        <f t="shared" ref="N40:N49" si="12">IF(C49&gt;0,C49/10&amp;" ml/uur","")</f>
        <v/>
      </c>
      <c r="R49" s="154">
        <f ca="1">IF(B21,ROUND(C21-SUM(R22:R48),1),0)</f>
        <v>-83.8</v>
      </c>
      <c r="S49" s="455">
        <f ca="1">IF($C49&gt;0,VLOOKUP($M49,Tbl_Glob_ParEnt,S$1,FALSE),0)*$R49</f>
        <v>0</v>
      </c>
      <c r="T49" s="455">
        <f ca="1">IF($C49&gt;0,VLOOKUP($M49,Tbl_Glob_ParEnt,T$1,FALSE),0)*$R49</f>
        <v>0</v>
      </c>
      <c r="U49" s="455">
        <f ca="1">IF($C49&gt;0,VLOOKUP($M49,Tbl_Glob_ParEnt,U$1,FALSE),0)*$R49</f>
        <v>0</v>
      </c>
      <c r="V49" s="455">
        <f ca="1">IF($C49&gt;0,VLOOKUP($M49,Tbl_Glob_ParEnt,V$1,FALSE),0)*$R49</f>
        <v>0</v>
      </c>
      <c r="W49" s="455">
        <f ca="1">IF($C49&gt;0,VLOOKUP($M49,Tbl_Glob_ParEnt,W$1,FALSE),0)*$R49</f>
        <v>0</v>
      </c>
      <c r="X49" s="455">
        <f ca="1">IF($C49&gt;0,VLOOKUP($M49,Tbl_Glob_ParEnt,X$1,FALSE),0)*$R49</f>
        <v>0</v>
      </c>
      <c r="Y49" s="455">
        <f ca="1">IF($C49&gt;0,VLOOKUP($M49,Tbl_Glob_ParEnt,Y$1,FALSE),0)*$R49</f>
        <v>0</v>
      </c>
      <c r="Z49" s="455">
        <f ca="1">IF($C49&gt;0,VLOOKUP($M49,Tbl_Glob_ParEnt,Z$1,FALSE),0)*$R49</f>
        <v>0</v>
      </c>
      <c r="AA49" s="455">
        <f ca="1">IF($C49&gt;0,VLOOKUP($M49,Tbl_Glob_ParEnt,AA$1,FALSE),0)*$R49</f>
        <v>0</v>
      </c>
      <c r="AB49" s="455">
        <f ca="1">IF($C49&gt;0,VLOOKUP($M49,Tbl_Glob_ParEnt,AB$1,FALSE),0)*$R49</f>
        <v>0</v>
      </c>
      <c r="AC49" s="455">
        <f ca="1">IF($C49&gt;0,VLOOKUP($M49,Tbl_Glob_ParEnt,AC$1,FALSE),0)*$R49</f>
        <v>0</v>
      </c>
      <c r="AD49" s="455">
        <f ca="1">IF($C49&gt;0,VLOOKUP($M49,Tbl_Glob_ParEnt,AD$1,FALSE),0)*$R49</f>
        <v>0</v>
      </c>
      <c r="AH49" s="455" t="str">
        <f t="shared" ca="1" si="11"/>
        <v/>
      </c>
    </row>
    <row r="50" spans="1:35" s="455" customFormat="1" x14ac:dyDescent="0.2">
      <c r="AI50" s="154"/>
    </row>
    <row r="51" spans="1:35" s="455" customFormat="1" x14ac:dyDescent="0.2">
      <c r="A51" s="154" t="s">
        <v>197</v>
      </c>
      <c r="B51" s="154"/>
      <c r="C51" s="154"/>
      <c r="D51" s="154"/>
      <c r="E51" s="154"/>
      <c r="F51" s="154"/>
      <c r="G51" s="154"/>
      <c r="H51" s="154"/>
      <c r="I51" s="154"/>
      <c r="R51" s="154">
        <f>R9</f>
        <v>10</v>
      </c>
      <c r="S51" s="972">
        <f>SUM(S9:S19)</f>
        <v>0.19876402480000002</v>
      </c>
      <c r="T51" s="972">
        <f>SUM(T9:T19)</f>
        <v>0.17152803360000002</v>
      </c>
      <c r="U51" s="972">
        <f>SUM(U9:U19)</f>
        <v>0.19350287999999999</v>
      </c>
      <c r="V51" s="972">
        <f>SUM(V9:V19)</f>
        <v>2.7482188000000001E-2</v>
      </c>
      <c r="W51" s="972">
        <f>SUM(W9:W19)</f>
        <v>0.13853272560000002</v>
      </c>
      <c r="X51" s="972">
        <f>SUM(X9:X19)</f>
        <v>0.18064000000000002</v>
      </c>
      <c r="Y51" s="972">
        <f>SUM(Y9:Y19)</f>
        <v>0.99504000000000004</v>
      </c>
      <c r="Z51" s="972">
        <f>SUM(Z9:Z19)</f>
        <v>0.4</v>
      </c>
      <c r="AA51" s="972">
        <f>SUM(AA9:AA19)</f>
        <v>8.2944000000000013</v>
      </c>
      <c r="AB51" s="972">
        <f>SUM(AB9:AB19)</f>
        <v>0.17300432159999998</v>
      </c>
      <c r="AC51" s="972">
        <f>SUM(AC9:AC19)</f>
        <v>14.720000000000002</v>
      </c>
      <c r="AD51" s="972">
        <f>SUM(AD9:AD19)</f>
        <v>1.7899999999999999E-4</v>
      </c>
      <c r="AI51" s="154"/>
    </row>
    <row r="52" spans="1:35" x14ac:dyDescent="0.2">
      <c r="A52" s="154" t="s">
        <v>195</v>
      </c>
      <c r="R52" s="154">
        <f ca="1">SUM(R22:R49)</f>
        <v>-10</v>
      </c>
      <c r="S52" s="154">
        <f ca="1">SUM(S22:S49)</f>
        <v>3.36</v>
      </c>
      <c r="T52" s="455">
        <f t="shared" ref="T52:AD52" ca="1" si="13">SUM(T22:T49)</f>
        <v>1</v>
      </c>
      <c r="U52" s="455">
        <f t="shared" ca="1" si="13"/>
        <v>0.22500000000000001</v>
      </c>
      <c r="V52" s="455">
        <f t="shared" ca="1" si="13"/>
        <v>0.5</v>
      </c>
      <c r="W52" s="455">
        <f t="shared" ca="1" si="13"/>
        <v>0</v>
      </c>
      <c r="X52" s="455">
        <f t="shared" ca="1" si="13"/>
        <v>0.1</v>
      </c>
      <c r="Y52" s="455">
        <f t="shared" ca="1" si="13"/>
        <v>7.32</v>
      </c>
      <c r="Z52" s="455">
        <f t="shared" ca="1" si="13"/>
        <v>0.2</v>
      </c>
      <c r="AA52" s="455">
        <f t="shared" ca="1" si="13"/>
        <v>31.080000000000002</v>
      </c>
      <c r="AB52" s="455">
        <f t="shared" ca="1" si="13"/>
        <v>4.8100000000000005</v>
      </c>
      <c r="AC52" s="455">
        <f t="shared" ca="1" si="13"/>
        <v>40</v>
      </c>
      <c r="AD52" s="455">
        <f t="shared" ca="1" si="13"/>
        <v>0</v>
      </c>
      <c r="AH52" s="455"/>
      <c r="AI52" s="455"/>
    </row>
    <row r="53" spans="1:35" x14ac:dyDescent="0.2">
      <c r="A53" s="154" t="s">
        <v>111</v>
      </c>
      <c r="R53" s="154">
        <f ca="1">R51+R52</f>
        <v>0</v>
      </c>
      <c r="S53" s="154">
        <f ca="1">S51+S52</f>
        <v>3.5587640247999999</v>
      </c>
      <c r="T53" s="455">
        <f t="shared" ref="T53:AD53" ca="1" si="14">T51+T52</f>
        <v>1.1715280336</v>
      </c>
      <c r="U53" s="455">
        <f t="shared" ca="1" si="14"/>
        <v>0.41850288000000002</v>
      </c>
      <c r="V53" s="455">
        <f t="shared" ca="1" si="14"/>
        <v>0.52748218800000002</v>
      </c>
      <c r="W53" s="455">
        <f t="shared" ca="1" si="14"/>
        <v>0.13853272560000002</v>
      </c>
      <c r="X53" s="455">
        <f t="shared" ca="1" si="14"/>
        <v>0.28064</v>
      </c>
      <c r="Y53" s="455">
        <f t="shared" ca="1" si="14"/>
        <v>8.3150399999999998</v>
      </c>
      <c r="Z53" s="455">
        <f t="shared" ca="1" si="14"/>
        <v>0.60000000000000009</v>
      </c>
      <c r="AA53" s="455">
        <f t="shared" ca="1" si="14"/>
        <v>39.374400000000001</v>
      </c>
      <c r="AB53" s="455">
        <f t="shared" ca="1" si="14"/>
        <v>4.9830043216000002</v>
      </c>
      <c r="AC53" s="455">
        <f t="shared" ca="1" si="14"/>
        <v>54.72</v>
      </c>
      <c r="AD53" s="455">
        <f t="shared" ca="1" si="14"/>
        <v>1.7899999999999999E-4</v>
      </c>
      <c r="AH53" s="455"/>
      <c r="AI53" s="455"/>
    </row>
    <row r="55" spans="1:35" x14ac:dyDescent="0.2">
      <c r="J55" s="154"/>
      <c r="K55" s="154"/>
      <c r="L55" s="154"/>
      <c r="M55" s="154"/>
      <c r="N55" s="154"/>
      <c r="O55" s="154"/>
      <c r="P55" s="154"/>
      <c r="Q55" s="154"/>
      <c r="AD55" s="154"/>
    </row>
    <row r="56" spans="1:35" x14ac:dyDescent="0.2">
      <c r="J56" s="154"/>
      <c r="K56" s="154"/>
      <c r="L56" s="154"/>
      <c r="M56" s="154"/>
      <c r="N56" s="154"/>
      <c r="O56" s="154"/>
      <c r="P56" s="154"/>
      <c r="Q56" s="154"/>
      <c r="AD56" s="154"/>
    </row>
    <row r="58" spans="1:35" x14ac:dyDescent="0.2">
      <c r="J58" s="154"/>
      <c r="K58" s="154"/>
      <c r="L58" s="154"/>
      <c r="M58" s="154"/>
      <c r="N58" s="154"/>
      <c r="O58" s="154"/>
      <c r="P58" s="154"/>
      <c r="Q58" s="154"/>
      <c r="AD58" s="154"/>
    </row>
    <row r="59" spans="1:35" x14ac:dyDescent="0.2">
      <c r="J59" s="154"/>
      <c r="K59" s="154"/>
      <c r="L59" s="154"/>
      <c r="M59" s="154"/>
      <c r="N59" s="154"/>
      <c r="O59" s="154"/>
      <c r="P59" s="154"/>
      <c r="Q59" s="154"/>
      <c r="AD59" s="154"/>
    </row>
    <row r="60" spans="1:35" x14ac:dyDescent="0.2">
      <c r="J60" s="154"/>
      <c r="K60" s="154"/>
      <c r="L60" s="154"/>
      <c r="M60" s="154"/>
      <c r="N60" s="154"/>
      <c r="O60" s="154"/>
      <c r="P60" s="154"/>
      <c r="Q60" s="154"/>
      <c r="AD60" s="154"/>
    </row>
    <row r="61" spans="1:35" x14ac:dyDescent="0.2">
      <c r="J61" s="154"/>
      <c r="K61" s="154"/>
      <c r="L61" s="154"/>
      <c r="M61" s="154"/>
      <c r="N61" s="154"/>
      <c r="O61" s="154"/>
      <c r="P61" s="154"/>
      <c r="Q61" s="154"/>
      <c r="AD61" s="154"/>
    </row>
    <row r="62" spans="1:35" x14ac:dyDescent="0.2">
      <c r="J62" s="154"/>
      <c r="K62" s="154"/>
      <c r="L62" s="154"/>
      <c r="M62" s="154"/>
      <c r="N62" s="154"/>
      <c r="O62" s="154"/>
      <c r="P62" s="154"/>
      <c r="Q62" s="154"/>
      <c r="AD62" s="154"/>
    </row>
    <row r="63" spans="1:35" x14ac:dyDescent="0.2">
      <c r="J63" s="154"/>
      <c r="K63" s="154"/>
      <c r="L63" s="154"/>
      <c r="M63" s="154"/>
      <c r="N63" s="154"/>
      <c r="O63" s="154"/>
      <c r="P63" s="154"/>
      <c r="Q63" s="154"/>
      <c r="AD63" s="154"/>
    </row>
    <row r="64" spans="1:35" x14ac:dyDescent="0.2">
      <c r="J64" s="154"/>
      <c r="K64" s="154"/>
      <c r="L64" s="154"/>
      <c r="M64" s="154"/>
      <c r="N64" s="154"/>
      <c r="O64" s="154"/>
      <c r="P64" s="154"/>
      <c r="Q64" s="154"/>
      <c r="AD64" s="154"/>
    </row>
    <row r="65" spans="10:35" x14ac:dyDescent="0.2">
      <c r="J65" s="154"/>
      <c r="K65" s="154"/>
      <c r="L65" s="154"/>
      <c r="M65" s="154"/>
      <c r="N65" s="154"/>
      <c r="O65" s="154"/>
      <c r="P65" s="154"/>
      <c r="Q65" s="154"/>
      <c r="AD65" s="154"/>
    </row>
    <row r="66" spans="10:35" x14ac:dyDescent="0.2">
      <c r="J66" s="154"/>
      <c r="K66" s="154"/>
      <c r="L66" s="154"/>
      <c r="M66" s="154"/>
      <c r="N66" s="154"/>
      <c r="O66" s="154"/>
      <c r="P66" s="154"/>
      <c r="Q66" s="154"/>
      <c r="AD66" s="154"/>
    </row>
    <row r="67" spans="10:35" s="455" customFormat="1" x14ac:dyDescent="0.2">
      <c r="S67" s="387"/>
      <c r="T67" s="387"/>
      <c r="U67" s="387"/>
      <c r="V67" s="387"/>
      <c r="W67" s="387"/>
      <c r="X67" s="387"/>
      <c r="Y67" s="387"/>
      <c r="Z67" s="387"/>
      <c r="AA67" s="387"/>
      <c r="AB67" s="387"/>
      <c r="AC67" s="387"/>
      <c r="AD67" s="387"/>
      <c r="AH67" s="154"/>
      <c r="AI67" s="154"/>
    </row>
    <row r="68" spans="10:35" s="455" customFormat="1" x14ac:dyDescent="0.2">
      <c r="S68" s="387"/>
      <c r="T68" s="387"/>
      <c r="U68" s="387"/>
      <c r="V68" s="387"/>
      <c r="W68" s="387"/>
      <c r="X68" s="387"/>
      <c r="Y68" s="387"/>
      <c r="Z68" s="387"/>
      <c r="AA68" s="387"/>
      <c r="AB68" s="387"/>
      <c r="AC68" s="387"/>
      <c r="AD68" s="387"/>
      <c r="AH68" s="154"/>
      <c r="AI68" s="154"/>
    </row>
    <row r="69" spans="10:35" s="455" customFormat="1" x14ac:dyDescent="0.2">
      <c r="S69" s="387"/>
      <c r="T69" s="387"/>
      <c r="U69" s="387"/>
      <c r="V69" s="387"/>
      <c r="W69" s="387"/>
      <c r="X69" s="387"/>
      <c r="Y69" s="387"/>
      <c r="Z69" s="387"/>
      <c r="AA69" s="387"/>
      <c r="AB69" s="387"/>
      <c r="AC69" s="387"/>
      <c r="AD69" s="387"/>
    </row>
    <row r="70" spans="10:35" s="455" customFormat="1" x14ac:dyDescent="0.2">
      <c r="S70" s="387"/>
      <c r="T70" s="387"/>
      <c r="U70" s="387"/>
      <c r="V70" s="387"/>
      <c r="W70" s="387"/>
      <c r="X70" s="387"/>
      <c r="Y70" s="387"/>
      <c r="Z70" s="387"/>
      <c r="AA70" s="387"/>
      <c r="AB70" s="387"/>
      <c r="AC70" s="387"/>
      <c r="AD70" s="387"/>
    </row>
    <row r="71" spans="10:35" s="455" customFormat="1" x14ac:dyDescent="0.2">
      <c r="S71" s="387"/>
      <c r="T71" s="387"/>
      <c r="U71" s="387"/>
      <c r="V71" s="387"/>
      <c r="W71" s="387"/>
      <c r="X71" s="387"/>
      <c r="Y71" s="387"/>
      <c r="Z71" s="387"/>
      <c r="AA71" s="387"/>
      <c r="AB71" s="387"/>
      <c r="AC71" s="387"/>
      <c r="AD71" s="387"/>
    </row>
    <row r="72" spans="10:35" s="455" customFormat="1" x14ac:dyDescent="0.2">
      <c r="S72" s="387"/>
      <c r="T72" s="387"/>
      <c r="U72" s="387"/>
      <c r="V72" s="387"/>
      <c r="W72" s="387"/>
      <c r="X72" s="387"/>
      <c r="Y72" s="387"/>
      <c r="Z72" s="387"/>
      <c r="AA72" s="387"/>
      <c r="AB72" s="387"/>
      <c r="AC72" s="387"/>
      <c r="AD72" s="387"/>
    </row>
    <row r="73" spans="10:35" s="455" customFormat="1" x14ac:dyDescent="0.2">
      <c r="S73" s="387"/>
      <c r="T73" s="387"/>
      <c r="U73" s="387"/>
      <c r="V73" s="387"/>
      <c r="W73" s="387"/>
      <c r="X73" s="387"/>
      <c r="Y73" s="387"/>
      <c r="Z73" s="387"/>
      <c r="AA73" s="387"/>
      <c r="AB73" s="387"/>
      <c r="AC73" s="387"/>
      <c r="AD73" s="387"/>
    </row>
    <row r="74" spans="10:35" s="455" customFormat="1" x14ac:dyDescent="0.2">
      <c r="S74" s="387"/>
      <c r="T74" s="387"/>
      <c r="U74" s="387"/>
      <c r="V74" s="387"/>
      <c r="W74" s="387"/>
      <c r="X74" s="387"/>
      <c r="Y74" s="387"/>
      <c r="Z74" s="387"/>
      <c r="AA74" s="387"/>
      <c r="AB74" s="387"/>
      <c r="AC74" s="387"/>
      <c r="AD74" s="387"/>
    </row>
    <row r="75" spans="10:35" s="455" customFormat="1" x14ac:dyDescent="0.2">
      <c r="S75" s="387"/>
      <c r="T75" s="387"/>
      <c r="U75" s="387"/>
      <c r="V75" s="387"/>
      <c r="W75" s="387"/>
      <c r="X75" s="387"/>
      <c r="Y75" s="387"/>
      <c r="Z75" s="387"/>
      <c r="AA75" s="387"/>
      <c r="AB75" s="387"/>
      <c r="AC75" s="387"/>
      <c r="AD75" s="387"/>
    </row>
    <row r="76" spans="10:35" x14ac:dyDescent="0.2">
      <c r="AH76" s="455"/>
      <c r="AI76" s="455"/>
    </row>
    <row r="77" spans="10:35" x14ac:dyDescent="0.2">
      <c r="S77" s="386"/>
      <c r="AH77" s="455"/>
      <c r="AI77" s="455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06"/>
  <sheetViews>
    <sheetView workbookViewId="0">
      <selection activeCell="I44" sqref="I44"/>
    </sheetView>
  </sheetViews>
  <sheetFormatPr defaultRowHeight="12.75" x14ac:dyDescent="0.2"/>
  <cols>
    <col min="1" max="1" width="34.28515625" customWidth="1"/>
    <col min="2" max="2" width="13.85546875" customWidth="1"/>
    <col min="3" max="3" width="27.285156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312" t="s">
        <v>4374</v>
      </c>
      <c r="B1" s="312" t="s">
        <v>4376</v>
      </c>
      <c r="C1" s="829" t="s">
        <v>4375</v>
      </c>
      <c r="D1" s="312" t="s">
        <v>4376</v>
      </c>
      <c r="E1" s="312" t="s">
        <v>4617</v>
      </c>
      <c r="F1" s="312" t="s">
        <v>4618</v>
      </c>
    </row>
    <row r="2" spans="1:8" x14ac:dyDescent="0.2">
      <c r="A2" s="311" t="str">
        <f>H2</f>
        <v>_Neo_InfB_Cont_ArtLijn</v>
      </c>
      <c r="B2">
        <v>0</v>
      </c>
      <c r="C2" s="311" t="str">
        <f t="shared" ref="C2:C33" si="0">REPLACE(A2,6,4,"1700")</f>
        <v>_Neo_1700_Cont_ArtLijn</v>
      </c>
      <c r="D2">
        <v>0</v>
      </c>
      <c r="E2" t="s">
        <v>4927</v>
      </c>
      <c r="F2" t="b">
        <f t="shared" ref="F2:F33" si="1">"Var"&amp;A2=E2</f>
        <v>1</v>
      </c>
      <c r="H2" s="311" t="s">
        <v>4812</v>
      </c>
    </row>
    <row r="3" spans="1:8" x14ac:dyDescent="0.2">
      <c r="A3" s="311" t="str">
        <f t="shared" ref="A3:A66" si="2">H3</f>
        <v>_Neo_InfB_Cont_MedKeuze_1</v>
      </c>
      <c r="B3">
        <v>1</v>
      </c>
      <c r="C3" s="311" t="str">
        <f t="shared" si="0"/>
        <v>_Neo_1700_Cont_MedKeuze_1</v>
      </c>
      <c r="D3">
        <v>1</v>
      </c>
      <c r="E3" t="s">
        <v>4928</v>
      </c>
      <c r="F3" s="311" t="b">
        <f t="shared" si="1"/>
        <v>1</v>
      </c>
      <c r="H3" s="311" t="s">
        <v>4813</v>
      </c>
    </row>
    <row r="4" spans="1:8" x14ac:dyDescent="0.2">
      <c r="A4" s="311" t="str">
        <f t="shared" si="2"/>
        <v>_Neo_InfB_Cont_MedKeuze_2</v>
      </c>
      <c r="B4">
        <v>1</v>
      </c>
      <c r="C4" s="311" t="str">
        <f t="shared" si="0"/>
        <v>_Neo_1700_Cont_MedKeuze_2</v>
      </c>
      <c r="D4">
        <v>1</v>
      </c>
      <c r="E4" t="s">
        <v>4929</v>
      </c>
      <c r="F4" s="311" t="b">
        <f t="shared" si="1"/>
        <v>1</v>
      </c>
      <c r="H4" s="311" t="s">
        <v>4814</v>
      </c>
    </row>
    <row r="5" spans="1:8" x14ac:dyDescent="0.2">
      <c r="A5" s="311" t="str">
        <f t="shared" si="2"/>
        <v>_Neo_InfB_Cont_MedKeuze_3</v>
      </c>
      <c r="B5">
        <v>1</v>
      </c>
      <c r="C5" s="311" t="str">
        <f t="shared" si="0"/>
        <v>_Neo_1700_Cont_MedKeuze_3</v>
      </c>
      <c r="D5">
        <v>1</v>
      </c>
      <c r="E5" t="s">
        <v>4930</v>
      </c>
      <c r="F5" s="311" t="b">
        <f t="shared" si="1"/>
        <v>1</v>
      </c>
      <c r="H5" s="311" t="s">
        <v>4815</v>
      </c>
    </row>
    <row r="6" spans="1:8" x14ac:dyDescent="0.2">
      <c r="A6" s="311" t="str">
        <f t="shared" si="2"/>
        <v>_Neo_InfB_Cont_MedKeuze_4</v>
      </c>
      <c r="B6">
        <v>1</v>
      </c>
      <c r="C6" s="311" t="str">
        <f t="shared" si="0"/>
        <v>_Neo_1700_Cont_MedKeuze_4</v>
      </c>
      <c r="D6">
        <v>1</v>
      </c>
      <c r="E6" t="s">
        <v>4931</v>
      </c>
      <c r="F6" s="311" t="b">
        <f t="shared" si="1"/>
        <v>1</v>
      </c>
      <c r="H6" s="311" t="s">
        <v>4816</v>
      </c>
    </row>
    <row r="7" spans="1:8" x14ac:dyDescent="0.2">
      <c r="A7" s="311" t="str">
        <f t="shared" si="2"/>
        <v>_Neo_InfB_Cont_MedKeuze_5</v>
      </c>
      <c r="B7">
        <v>1</v>
      </c>
      <c r="C7" s="311" t="str">
        <f t="shared" si="0"/>
        <v>_Neo_1700_Cont_MedKeuze_5</v>
      </c>
      <c r="D7">
        <v>1</v>
      </c>
      <c r="E7" t="s">
        <v>4932</v>
      </c>
      <c r="F7" s="311" t="b">
        <f t="shared" si="1"/>
        <v>1</v>
      </c>
      <c r="H7" s="311" t="s">
        <v>4817</v>
      </c>
    </row>
    <row r="8" spans="1:8" x14ac:dyDescent="0.2">
      <c r="A8" s="311" t="str">
        <f t="shared" si="2"/>
        <v>_Neo_InfB_Cont_MedKeuze_6</v>
      </c>
      <c r="B8">
        <v>1</v>
      </c>
      <c r="C8" s="311" t="str">
        <f t="shared" si="0"/>
        <v>_Neo_1700_Cont_MedKeuze_6</v>
      </c>
      <c r="D8">
        <v>1</v>
      </c>
      <c r="E8" t="s">
        <v>4933</v>
      </c>
      <c r="F8" s="311" t="b">
        <f t="shared" si="1"/>
        <v>1</v>
      </c>
      <c r="H8" s="311" t="s">
        <v>4818</v>
      </c>
    </row>
    <row r="9" spans="1:8" x14ac:dyDescent="0.2">
      <c r="A9" s="311" t="str">
        <f t="shared" si="2"/>
        <v>_Neo_InfB_Cont_MedKeuze_7</v>
      </c>
      <c r="B9">
        <v>1</v>
      </c>
      <c r="C9" s="311" t="str">
        <f t="shared" si="0"/>
        <v>_Neo_1700_Cont_MedKeuze_7</v>
      </c>
      <c r="D9">
        <v>1</v>
      </c>
      <c r="E9" t="s">
        <v>4934</v>
      </c>
      <c r="F9" s="311" t="b">
        <f t="shared" si="1"/>
        <v>1</v>
      </c>
      <c r="H9" s="311" t="s">
        <v>4819</v>
      </c>
    </row>
    <row r="10" spans="1:8" x14ac:dyDescent="0.2">
      <c r="A10" s="311" t="str">
        <f t="shared" si="2"/>
        <v>_Neo_InfB_Cont_MedKeuze_8</v>
      </c>
      <c r="B10">
        <v>1</v>
      </c>
      <c r="C10" s="311" t="str">
        <f t="shared" si="0"/>
        <v>_Neo_1700_Cont_MedKeuze_8</v>
      </c>
      <c r="D10">
        <v>1</v>
      </c>
      <c r="E10" t="s">
        <v>4935</v>
      </c>
      <c r="F10" s="311" t="b">
        <f t="shared" si="1"/>
        <v>1</v>
      </c>
      <c r="H10" s="311" t="s">
        <v>4820</v>
      </c>
    </row>
    <row r="11" spans="1:8" x14ac:dyDescent="0.2">
      <c r="A11" s="311" t="str">
        <f t="shared" si="2"/>
        <v>_Neo_InfB_Cont_MedKeuze_9</v>
      </c>
      <c r="B11">
        <v>1</v>
      </c>
      <c r="C11" s="311" t="str">
        <f t="shared" si="0"/>
        <v>_Neo_1700_Cont_MedKeuze_9</v>
      </c>
      <c r="D11">
        <v>1</v>
      </c>
      <c r="E11" t="s">
        <v>4936</v>
      </c>
      <c r="F11" s="311" t="b">
        <f t="shared" si="1"/>
        <v>1</v>
      </c>
      <c r="H11" s="311" t="s">
        <v>4821</v>
      </c>
    </row>
    <row r="12" spans="1:8" x14ac:dyDescent="0.2">
      <c r="A12" s="311" t="str">
        <f t="shared" si="2"/>
        <v>_Neo_InfB_Cont_MedSterkte_1</v>
      </c>
      <c r="B12">
        <v>0</v>
      </c>
      <c r="C12" s="311" t="str">
        <f t="shared" si="0"/>
        <v>_Neo_1700_Cont_MedSterkte_1</v>
      </c>
      <c r="D12">
        <v>0</v>
      </c>
      <c r="E12" t="s">
        <v>4937</v>
      </c>
      <c r="F12" s="311" t="b">
        <f t="shared" si="1"/>
        <v>1</v>
      </c>
      <c r="G12" s="311"/>
      <c r="H12" s="311" t="s">
        <v>4822</v>
      </c>
    </row>
    <row r="13" spans="1:8" x14ac:dyDescent="0.2">
      <c r="A13" s="311" t="str">
        <f t="shared" si="2"/>
        <v>_Neo_InfB_Cont_MedSterkte_2</v>
      </c>
      <c r="B13">
        <v>0</v>
      </c>
      <c r="C13" s="311" t="str">
        <f t="shared" si="0"/>
        <v>_Neo_1700_Cont_MedSterkte_2</v>
      </c>
      <c r="D13">
        <v>0</v>
      </c>
      <c r="E13" t="s">
        <v>4938</v>
      </c>
      <c r="F13" s="311" t="b">
        <f t="shared" si="1"/>
        <v>1</v>
      </c>
      <c r="G13" s="311"/>
      <c r="H13" s="311" t="s">
        <v>4823</v>
      </c>
    </row>
    <row r="14" spans="1:8" x14ac:dyDescent="0.2">
      <c r="A14" s="311" t="str">
        <f t="shared" si="2"/>
        <v>_Neo_InfB_Cont_MedSterkte_3</v>
      </c>
      <c r="B14">
        <v>0</v>
      </c>
      <c r="C14" s="311" t="str">
        <f t="shared" si="0"/>
        <v>_Neo_1700_Cont_MedSterkte_3</v>
      </c>
      <c r="D14">
        <v>0</v>
      </c>
      <c r="E14" t="s">
        <v>4939</v>
      </c>
      <c r="F14" s="311" t="b">
        <f t="shared" si="1"/>
        <v>1</v>
      </c>
      <c r="G14" s="311"/>
      <c r="H14" s="311" t="s">
        <v>4824</v>
      </c>
    </row>
    <row r="15" spans="1:8" x14ac:dyDescent="0.2">
      <c r="A15" s="311" t="str">
        <f t="shared" si="2"/>
        <v>_Neo_InfB_Cont_MedSterkte_4</v>
      </c>
      <c r="B15">
        <v>0</v>
      </c>
      <c r="C15" s="311" t="str">
        <f t="shared" si="0"/>
        <v>_Neo_1700_Cont_MedSterkte_4</v>
      </c>
      <c r="D15">
        <v>0</v>
      </c>
      <c r="E15" t="s">
        <v>4940</v>
      </c>
      <c r="F15" s="311" t="b">
        <f t="shared" si="1"/>
        <v>1</v>
      </c>
      <c r="G15" s="311"/>
      <c r="H15" s="311" t="s">
        <v>4825</v>
      </c>
    </row>
    <row r="16" spans="1:8" x14ac:dyDescent="0.2">
      <c r="A16" s="311" t="str">
        <f t="shared" si="2"/>
        <v>_Neo_InfB_Cont_MedSterkte_5</v>
      </c>
      <c r="B16">
        <v>0</v>
      </c>
      <c r="C16" s="311" t="str">
        <f t="shared" si="0"/>
        <v>_Neo_1700_Cont_MedSterkte_5</v>
      </c>
      <c r="D16">
        <v>0</v>
      </c>
      <c r="E16" t="s">
        <v>4941</v>
      </c>
      <c r="F16" s="311" t="b">
        <f t="shared" si="1"/>
        <v>1</v>
      </c>
      <c r="G16" s="311"/>
      <c r="H16" s="311" t="s">
        <v>4826</v>
      </c>
    </row>
    <row r="17" spans="1:8" x14ac:dyDescent="0.2">
      <c r="A17" s="311" t="str">
        <f t="shared" si="2"/>
        <v>_Neo_InfB_Cont_MedSterkte_6</v>
      </c>
      <c r="B17">
        <v>0</v>
      </c>
      <c r="C17" s="311" t="str">
        <f t="shared" si="0"/>
        <v>_Neo_1700_Cont_MedSterkte_6</v>
      </c>
      <c r="D17">
        <v>0</v>
      </c>
      <c r="E17" t="s">
        <v>4942</v>
      </c>
      <c r="F17" s="311" t="b">
        <f t="shared" si="1"/>
        <v>1</v>
      </c>
      <c r="G17" s="311"/>
      <c r="H17" s="311" t="s">
        <v>4827</v>
      </c>
    </row>
    <row r="18" spans="1:8" x14ac:dyDescent="0.2">
      <c r="A18" s="311" t="str">
        <f t="shared" si="2"/>
        <v>_Neo_InfB_Cont_MedSterkte_7</v>
      </c>
      <c r="B18">
        <v>0</v>
      </c>
      <c r="C18" s="311" t="str">
        <f t="shared" si="0"/>
        <v>_Neo_1700_Cont_MedSterkte_7</v>
      </c>
      <c r="D18">
        <v>0</v>
      </c>
      <c r="E18" t="s">
        <v>4943</v>
      </c>
      <c r="F18" s="311" t="b">
        <f t="shared" si="1"/>
        <v>1</v>
      </c>
      <c r="G18" s="311"/>
      <c r="H18" s="311" t="s">
        <v>4828</v>
      </c>
    </row>
    <row r="19" spans="1:8" x14ac:dyDescent="0.2">
      <c r="A19" s="311" t="str">
        <f t="shared" si="2"/>
        <v>_Neo_InfB_Cont_MedSterkte_8</v>
      </c>
      <c r="B19">
        <v>0</v>
      </c>
      <c r="C19" s="311" t="str">
        <f t="shared" si="0"/>
        <v>_Neo_1700_Cont_MedSterkte_8</v>
      </c>
      <c r="D19">
        <v>0</v>
      </c>
      <c r="E19" t="s">
        <v>4944</v>
      </c>
      <c r="F19" s="311" t="b">
        <f t="shared" si="1"/>
        <v>1</v>
      </c>
      <c r="G19" s="311"/>
      <c r="H19" s="311" t="s">
        <v>4829</v>
      </c>
    </row>
    <row r="20" spans="1:8" x14ac:dyDescent="0.2">
      <c r="A20" s="311" t="str">
        <f t="shared" si="2"/>
        <v>_Neo_InfB_Cont_MedSterkte_9</v>
      </c>
      <c r="B20">
        <v>0</v>
      </c>
      <c r="C20" s="311" t="str">
        <f t="shared" si="0"/>
        <v>_Neo_1700_Cont_MedSterkte_9</v>
      </c>
      <c r="D20">
        <v>0</v>
      </c>
      <c r="E20" t="s">
        <v>4945</v>
      </c>
      <c r="F20" s="311" t="b">
        <f t="shared" si="1"/>
        <v>1</v>
      </c>
      <c r="G20" s="311"/>
      <c r="H20" s="311" t="s">
        <v>4830</v>
      </c>
    </row>
    <row r="21" spans="1:8" x14ac:dyDescent="0.2">
      <c r="A21" s="311" t="str">
        <f t="shared" si="2"/>
        <v>_Neo_InfB_Cont_MedTekst_1</v>
      </c>
      <c r="C21" s="311" t="str">
        <f t="shared" si="0"/>
        <v>_Neo_1700_Cont_MedTekst_1</v>
      </c>
      <c r="E21" t="s">
        <v>4946</v>
      </c>
      <c r="F21" s="311" t="b">
        <f t="shared" si="1"/>
        <v>1</v>
      </c>
      <c r="G21" s="311"/>
      <c r="H21" s="311" t="s">
        <v>4831</v>
      </c>
    </row>
    <row r="22" spans="1:8" x14ac:dyDescent="0.2">
      <c r="A22" s="311" t="str">
        <f t="shared" si="2"/>
        <v>_Neo_InfB_Cont_MedTekst_2</v>
      </c>
      <c r="C22" s="311" t="str">
        <f t="shared" si="0"/>
        <v>_Neo_1700_Cont_MedTekst_2</v>
      </c>
      <c r="E22" t="s">
        <v>4947</v>
      </c>
      <c r="F22" s="311" t="b">
        <f t="shared" si="1"/>
        <v>1</v>
      </c>
      <c r="G22" s="311"/>
      <c r="H22" s="311" t="s">
        <v>4832</v>
      </c>
    </row>
    <row r="23" spans="1:8" x14ac:dyDescent="0.2">
      <c r="A23" s="311" t="str">
        <f t="shared" si="2"/>
        <v>_Neo_InfB_Cont_OplHoev_1</v>
      </c>
      <c r="B23">
        <v>0</v>
      </c>
      <c r="C23" s="311" t="str">
        <f t="shared" si="0"/>
        <v>_Neo_1700_Cont_OplHoev_1</v>
      </c>
      <c r="D23">
        <v>0</v>
      </c>
      <c r="E23" t="s">
        <v>4948</v>
      </c>
      <c r="F23" s="311" t="b">
        <f t="shared" si="1"/>
        <v>1</v>
      </c>
      <c r="H23" s="311" t="s">
        <v>4833</v>
      </c>
    </row>
    <row r="24" spans="1:8" x14ac:dyDescent="0.2">
      <c r="A24" s="311" t="str">
        <f t="shared" si="2"/>
        <v>_Neo_InfB_Cont_OplHoev_2</v>
      </c>
      <c r="B24">
        <v>0</v>
      </c>
      <c r="C24" s="311" t="str">
        <f t="shared" si="0"/>
        <v>_Neo_1700_Cont_OplHoev_2</v>
      </c>
      <c r="D24">
        <v>0</v>
      </c>
      <c r="E24" t="s">
        <v>4949</v>
      </c>
      <c r="F24" s="311" t="b">
        <f t="shared" si="1"/>
        <v>1</v>
      </c>
      <c r="H24" s="311" t="s">
        <v>4834</v>
      </c>
    </row>
    <row r="25" spans="1:8" x14ac:dyDescent="0.2">
      <c r="A25" s="311" t="str">
        <f t="shared" si="2"/>
        <v>_Neo_InfB_Cont_OplHoev_3</v>
      </c>
      <c r="B25">
        <v>0</v>
      </c>
      <c r="C25" s="311" t="str">
        <f t="shared" si="0"/>
        <v>_Neo_1700_Cont_OplHoev_3</v>
      </c>
      <c r="D25">
        <v>0</v>
      </c>
      <c r="E25" t="s">
        <v>4950</v>
      </c>
      <c r="F25" s="311" t="b">
        <f t="shared" si="1"/>
        <v>1</v>
      </c>
      <c r="H25" s="311" t="s">
        <v>4835</v>
      </c>
    </row>
    <row r="26" spans="1:8" x14ac:dyDescent="0.2">
      <c r="A26" s="311" t="str">
        <f t="shared" si="2"/>
        <v>_Neo_InfB_Cont_OplHoev_4</v>
      </c>
      <c r="B26">
        <v>0</v>
      </c>
      <c r="C26" s="311" t="str">
        <f t="shared" si="0"/>
        <v>_Neo_1700_Cont_OplHoev_4</v>
      </c>
      <c r="D26">
        <v>0</v>
      </c>
      <c r="E26" t="s">
        <v>4951</v>
      </c>
      <c r="F26" s="311" t="b">
        <f t="shared" si="1"/>
        <v>1</v>
      </c>
      <c r="H26" s="311" t="s">
        <v>4836</v>
      </c>
    </row>
    <row r="27" spans="1:8" x14ac:dyDescent="0.2">
      <c r="A27" s="311" t="str">
        <f t="shared" si="2"/>
        <v>_Neo_InfB_Cont_OplHoev_5</v>
      </c>
      <c r="B27">
        <v>0</v>
      </c>
      <c r="C27" s="311" t="str">
        <f t="shared" si="0"/>
        <v>_Neo_1700_Cont_OplHoev_5</v>
      </c>
      <c r="D27">
        <v>0</v>
      </c>
      <c r="E27" t="s">
        <v>4952</v>
      </c>
      <c r="F27" s="311" t="b">
        <f t="shared" si="1"/>
        <v>1</v>
      </c>
      <c r="H27" s="311" t="s">
        <v>4837</v>
      </c>
    </row>
    <row r="28" spans="1:8" x14ac:dyDescent="0.2">
      <c r="A28" s="311" t="str">
        <f t="shared" si="2"/>
        <v>_Neo_InfB_Cont_OplHoev_6</v>
      </c>
      <c r="B28">
        <v>0</v>
      </c>
      <c r="C28" s="311" t="str">
        <f t="shared" si="0"/>
        <v>_Neo_1700_Cont_OplHoev_6</v>
      </c>
      <c r="D28">
        <v>0</v>
      </c>
      <c r="E28" t="s">
        <v>4953</v>
      </c>
      <c r="F28" s="311" t="b">
        <f t="shared" si="1"/>
        <v>1</v>
      </c>
      <c r="H28" s="311" t="s">
        <v>4838</v>
      </c>
    </row>
    <row r="29" spans="1:8" x14ac:dyDescent="0.2">
      <c r="A29" s="311" t="str">
        <f t="shared" si="2"/>
        <v>_Neo_InfB_Cont_OplHoev_7</v>
      </c>
      <c r="B29">
        <v>0</v>
      </c>
      <c r="C29" s="311" t="str">
        <f t="shared" si="0"/>
        <v>_Neo_1700_Cont_OplHoev_7</v>
      </c>
      <c r="D29">
        <v>0</v>
      </c>
      <c r="E29" t="s">
        <v>4954</v>
      </c>
      <c r="F29" s="311" t="b">
        <f t="shared" si="1"/>
        <v>1</v>
      </c>
      <c r="H29" s="311" t="s">
        <v>4839</v>
      </c>
    </row>
    <row r="30" spans="1:8" x14ac:dyDescent="0.2">
      <c r="A30" s="311" t="str">
        <f t="shared" si="2"/>
        <v>_Neo_InfB_Cont_OplHoev_8</v>
      </c>
      <c r="B30">
        <v>0</v>
      </c>
      <c r="C30" s="311" t="str">
        <f t="shared" si="0"/>
        <v>_Neo_1700_Cont_OplHoev_8</v>
      </c>
      <c r="D30">
        <v>0</v>
      </c>
      <c r="E30" t="s">
        <v>4955</v>
      </c>
      <c r="F30" s="311" t="b">
        <f t="shared" si="1"/>
        <v>1</v>
      </c>
      <c r="H30" s="311" t="s">
        <v>4840</v>
      </c>
    </row>
    <row r="31" spans="1:8" x14ac:dyDescent="0.2">
      <c r="A31" s="311" t="str">
        <f t="shared" si="2"/>
        <v>_Neo_InfB_Cont_OplHoev_9</v>
      </c>
      <c r="B31">
        <v>0</v>
      </c>
      <c r="C31" s="311" t="str">
        <f t="shared" si="0"/>
        <v>_Neo_1700_Cont_OplHoev_9</v>
      </c>
      <c r="D31">
        <v>0</v>
      </c>
      <c r="E31" t="s">
        <v>4956</v>
      </c>
      <c r="F31" s="311" t="b">
        <f t="shared" si="1"/>
        <v>1</v>
      </c>
      <c r="H31" s="311" t="s">
        <v>4841</v>
      </c>
    </row>
    <row r="32" spans="1:8" x14ac:dyDescent="0.2">
      <c r="A32" s="311" t="str">
        <f t="shared" si="2"/>
        <v>_Neo_InfB_Cont_Oplossing_01</v>
      </c>
      <c r="B32">
        <v>1</v>
      </c>
      <c r="C32" s="311" t="str">
        <f t="shared" si="0"/>
        <v>_Neo_1700_Cont_Oplossing_01</v>
      </c>
      <c r="D32">
        <v>1</v>
      </c>
      <c r="E32" t="s">
        <v>4957</v>
      </c>
      <c r="F32" s="311" t="b">
        <f t="shared" si="1"/>
        <v>1</v>
      </c>
      <c r="H32" s="311" t="s">
        <v>4842</v>
      </c>
    </row>
    <row r="33" spans="1:8" x14ac:dyDescent="0.2">
      <c r="A33" s="311" t="str">
        <f t="shared" si="2"/>
        <v>_Neo_InfB_Cont_Oplossing_02</v>
      </c>
      <c r="B33">
        <v>1</v>
      </c>
      <c r="C33" s="311" t="str">
        <f t="shared" si="0"/>
        <v>_Neo_1700_Cont_Oplossing_02</v>
      </c>
      <c r="D33">
        <v>1</v>
      </c>
      <c r="E33" t="s">
        <v>4958</v>
      </c>
      <c r="F33" s="311" t="b">
        <f t="shared" si="1"/>
        <v>1</v>
      </c>
      <c r="H33" s="311" t="s">
        <v>4843</v>
      </c>
    </row>
    <row r="34" spans="1:8" x14ac:dyDescent="0.2">
      <c r="A34" s="311" t="str">
        <f t="shared" si="2"/>
        <v>_Neo_InfB_Cont_Oplossing_03</v>
      </c>
      <c r="B34">
        <v>1</v>
      </c>
      <c r="C34" s="311" t="str">
        <f t="shared" ref="C34:C65" si="3">REPLACE(A34,6,4,"1700")</f>
        <v>_Neo_1700_Cont_Oplossing_03</v>
      </c>
      <c r="D34">
        <v>1</v>
      </c>
      <c r="E34" t="s">
        <v>4959</v>
      </c>
      <c r="F34" s="311" t="b">
        <f t="shared" ref="F34:F65" si="4">"Var"&amp;A34=E34</f>
        <v>1</v>
      </c>
      <c r="H34" s="311" t="s">
        <v>4844</v>
      </c>
    </row>
    <row r="35" spans="1:8" x14ac:dyDescent="0.2">
      <c r="A35" s="311" t="str">
        <f t="shared" si="2"/>
        <v>_Neo_InfB_Cont_Oplossing_04</v>
      </c>
      <c r="B35">
        <v>1</v>
      </c>
      <c r="C35" s="311" t="str">
        <f t="shared" si="3"/>
        <v>_Neo_1700_Cont_Oplossing_04</v>
      </c>
      <c r="D35">
        <v>1</v>
      </c>
      <c r="E35" t="s">
        <v>4960</v>
      </c>
      <c r="F35" s="311" t="b">
        <f t="shared" si="4"/>
        <v>1</v>
      </c>
      <c r="H35" s="311" t="s">
        <v>4845</v>
      </c>
    </row>
    <row r="36" spans="1:8" x14ac:dyDescent="0.2">
      <c r="A36" s="311" t="str">
        <f t="shared" si="2"/>
        <v>_Neo_InfB_Cont_Oplossing_05</v>
      </c>
      <c r="B36">
        <v>1</v>
      </c>
      <c r="C36" s="311" t="str">
        <f t="shared" si="3"/>
        <v>_Neo_1700_Cont_Oplossing_05</v>
      </c>
      <c r="D36">
        <v>1</v>
      </c>
      <c r="E36" t="s">
        <v>4961</v>
      </c>
      <c r="F36" s="311" t="b">
        <f t="shared" si="4"/>
        <v>1</v>
      </c>
      <c r="H36" s="311" t="s">
        <v>4846</v>
      </c>
    </row>
    <row r="37" spans="1:8" x14ac:dyDescent="0.2">
      <c r="A37" s="311" t="str">
        <f t="shared" si="2"/>
        <v>_Neo_InfB_Cont_Oplossing_06</v>
      </c>
      <c r="B37">
        <v>1</v>
      </c>
      <c r="C37" s="311" t="str">
        <f t="shared" si="3"/>
        <v>_Neo_1700_Cont_Oplossing_06</v>
      </c>
      <c r="D37">
        <v>1</v>
      </c>
      <c r="E37" t="s">
        <v>4962</v>
      </c>
      <c r="F37" s="311" t="b">
        <f t="shared" si="4"/>
        <v>1</v>
      </c>
      <c r="H37" s="311" t="s">
        <v>4847</v>
      </c>
    </row>
    <row r="38" spans="1:8" x14ac:dyDescent="0.2">
      <c r="A38" s="311" t="str">
        <f t="shared" si="2"/>
        <v>_Neo_InfB_Cont_Oplossing_07</v>
      </c>
      <c r="B38">
        <v>1</v>
      </c>
      <c r="C38" s="311" t="str">
        <f t="shared" si="3"/>
        <v>_Neo_1700_Cont_Oplossing_07</v>
      </c>
      <c r="D38">
        <v>1</v>
      </c>
      <c r="E38" t="s">
        <v>4963</v>
      </c>
      <c r="F38" s="311" t="b">
        <f t="shared" si="4"/>
        <v>1</v>
      </c>
      <c r="H38" s="311" t="s">
        <v>4848</v>
      </c>
    </row>
    <row r="39" spans="1:8" x14ac:dyDescent="0.2">
      <c r="A39" s="311" t="str">
        <f t="shared" si="2"/>
        <v>_Neo_InfB_Cont_Oplossing_08</v>
      </c>
      <c r="B39">
        <v>1</v>
      </c>
      <c r="C39" s="311" t="str">
        <f t="shared" si="3"/>
        <v>_Neo_1700_Cont_Oplossing_08</v>
      </c>
      <c r="D39">
        <v>1</v>
      </c>
      <c r="E39" t="s">
        <v>4964</v>
      </c>
      <c r="F39" s="311" t="b">
        <f t="shared" si="4"/>
        <v>1</v>
      </c>
      <c r="H39" s="311" t="s">
        <v>4849</v>
      </c>
    </row>
    <row r="40" spans="1:8" x14ac:dyDescent="0.2">
      <c r="A40" s="311" t="str">
        <f t="shared" si="2"/>
        <v>_Neo_InfB_Cont_Oplossing_09</v>
      </c>
      <c r="B40">
        <v>1</v>
      </c>
      <c r="C40" s="311" t="str">
        <f t="shared" si="3"/>
        <v>_Neo_1700_Cont_Oplossing_09</v>
      </c>
      <c r="D40">
        <v>1</v>
      </c>
      <c r="E40" t="s">
        <v>4965</v>
      </c>
      <c r="F40" s="311" t="b">
        <f t="shared" si="4"/>
        <v>1</v>
      </c>
      <c r="H40" s="311" t="s">
        <v>4850</v>
      </c>
    </row>
    <row r="41" spans="1:8" x14ac:dyDescent="0.2">
      <c r="A41" s="311" t="str">
        <f t="shared" si="2"/>
        <v>_Neo_InfB_Cont_Oplossing_10</v>
      </c>
      <c r="B41">
        <v>0</v>
      </c>
      <c r="C41" s="311" t="str">
        <f t="shared" si="3"/>
        <v>_Neo_1700_Cont_Oplossing_10</v>
      </c>
      <c r="D41">
        <v>0</v>
      </c>
      <c r="E41" t="s">
        <v>4966</v>
      </c>
      <c r="F41" s="311" t="b">
        <f t="shared" si="4"/>
        <v>1</v>
      </c>
      <c r="H41" s="311" t="s">
        <v>4851</v>
      </c>
    </row>
    <row r="42" spans="1:8" x14ac:dyDescent="0.2">
      <c r="A42" s="311" t="str">
        <f t="shared" si="2"/>
        <v>_Neo_InfB_Cont_Oplossing_11</v>
      </c>
      <c r="B42">
        <v>0</v>
      </c>
      <c r="C42" s="311" t="str">
        <f t="shared" si="3"/>
        <v>_Neo_1700_Cont_Oplossing_11</v>
      </c>
      <c r="D42">
        <v>0</v>
      </c>
      <c r="E42" t="s">
        <v>4967</v>
      </c>
      <c r="F42" s="311" t="b">
        <f t="shared" si="4"/>
        <v>1</v>
      </c>
      <c r="H42" s="311" t="s">
        <v>4852</v>
      </c>
    </row>
    <row r="43" spans="1:8" x14ac:dyDescent="0.2">
      <c r="A43" s="311" t="str">
        <f t="shared" si="2"/>
        <v>_Neo_InfB_Cont_Oplossing_12</v>
      </c>
      <c r="B43">
        <v>0</v>
      </c>
      <c r="C43" s="311" t="str">
        <f t="shared" si="3"/>
        <v>_Neo_1700_Cont_Oplossing_12</v>
      </c>
      <c r="D43">
        <v>0</v>
      </c>
      <c r="E43" t="s">
        <v>4968</v>
      </c>
      <c r="F43" s="311" t="b">
        <f t="shared" si="4"/>
        <v>1</v>
      </c>
      <c r="H43" s="311" t="s">
        <v>4853</v>
      </c>
    </row>
    <row r="44" spans="1:8" x14ac:dyDescent="0.2">
      <c r="A44" s="311" t="str">
        <f t="shared" si="2"/>
        <v>_Neo_InfB_Cont_Stand_01</v>
      </c>
      <c r="B44">
        <v>0</v>
      </c>
      <c r="C44" s="311" t="str">
        <f t="shared" si="3"/>
        <v>_Neo_1700_Cont_Stand_01</v>
      </c>
      <c r="D44">
        <v>0</v>
      </c>
      <c r="E44" t="s">
        <v>4969</v>
      </c>
      <c r="F44" s="311" t="b">
        <f t="shared" si="4"/>
        <v>1</v>
      </c>
      <c r="H44" s="311" t="s">
        <v>4854</v>
      </c>
    </row>
    <row r="45" spans="1:8" x14ac:dyDescent="0.2">
      <c r="A45" s="311" t="str">
        <f t="shared" si="2"/>
        <v>_Neo_InfB_Cont_Stand_02</v>
      </c>
      <c r="B45">
        <v>0</v>
      </c>
      <c r="C45" s="311" t="str">
        <f t="shared" si="3"/>
        <v>_Neo_1700_Cont_Stand_02</v>
      </c>
      <c r="D45">
        <v>0</v>
      </c>
      <c r="E45" t="s">
        <v>4970</v>
      </c>
      <c r="F45" s="311" t="b">
        <f t="shared" si="4"/>
        <v>1</v>
      </c>
      <c r="H45" s="311" t="s">
        <v>4855</v>
      </c>
    </row>
    <row r="46" spans="1:8" x14ac:dyDescent="0.2">
      <c r="A46" s="311" t="str">
        <f t="shared" si="2"/>
        <v>_Neo_InfB_Cont_Stand_03</v>
      </c>
      <c r="B46">
        <v>0</v>
      </c>
      <c r="C46" s="311" t="str">
        <f t="shared" si="3"/>
        <v>_Neo_1700_Cont_Stand_03</v>
      </c>
      <c r="D46">
        <v>0</v>
      </c>
      <c r="E46" t="s">
        <v>4971</v>
      </c>
      <c r="F46" s="311" t="b">
        <f t="shared" si="4"/>
        <v>1</v>
      </c>
      <c r="H46" s="311" t="s">
        <v>4856</v>
      </c>
    </row>
    <row r="47" spans="1:8" x14ac:dyDescent="0.2">
      <c r="A47" s="311" t="str">
        <f t="shared" si="2"/>
        <v>_Neo_InfB_Cont_Stand_04</v>
      </c>
      <c r="B47">
        <v>0</v>
      </c>
      <c r="C47" s="311" t="str">
        <f t="shared" si="3"/>
        <v>_Neo_1700_Cont_Stand_04</v>
      </c>
      <c r="D47">
        <v>0</v>
      </c>
      <c r="E47" t="s">
        <v>4972</v>
      </c>
      <c r="F47" s="311" t="b">
        <f t="shared" si="4"/>
        <v>1</v>
      </c>
      <c r="H47" s="311" t="s">
        <v>4857</v>
      </c>
    </row>
    <row r="48" spans="1:8" x14ac:dyDescent="0.2">
      <c r="A48" s="311" t="str">
        <f t="shared" si="2"/>
        <v>_Neo_InfB_Cont_Stand_05</v>
      </c>
      <c r="B48">
        <v>0</v>
      </c>
      <c r="C48" s="311" t="str">
        <f t="shared" si="3"/>
        <v>_Neo_1700_Cont_Stand_05</v>
      </c>
      <c r="D48">
        <v>0</v>
      </c>
      <c r="E48" t="s">
        <v>4973</v>
      </c>
      <c r="F48" s="311" t="b">
        <f t="shared" si="4"/>
        <v>1</v>
      </c>
      <c r="H48" s="311" t="s">
        <v>4858</v>
      </c>
    </row>
    <row r="49" spans="1:8" x14ac:dyDescent="0.2">
      <c r="A49" s="311" t="str">
        <f t="shared" si="2"/>
        <v>_Neo_InfB_Cont_Stand_06</v>
      </c>
      <c r="B49">
        <v>0</v>
      </c>
      <c r="C49" s="311" t="str">
        <f t="shared" si="3"/>
        <v>_Neo_1700_Cont_Stand_06</v>
      </c>
      <c r="D49">
        <v>0</v>
      </c>
      <c r="E49" t="s">
        <v>4974</v>
      </c>
      <c r="F49" s="311" t="b">
        <f t="shared" si="4"/>
        <v>1</v>
      </c>
      <c r="H49" s="311" t="s">
        <v>4859</v>
      </c>
    </row>
    <row r="50" spans="1:8" x14ac:dyDescent="0.2">
      <c r="A50" s="311" t="str">
        <f t="shared" si="2"/>
        <v>_Neo_InfB_Cont_Stand_07</v>
      </c>
      <c r="B50">
        <v>0</v>
      </c>
      <c r="C50" s="311" t="str">
        <f t="shared" si="3"/>
        <v>_Neo_1700_Cont_Stand_07</v>
      </c>
      <c r="D50">
        <v>0</v>
      </c>
      <c r="E50" t="s">
        <v>4975</v>
      </c>
      <c r="F50" s="311" t="b">
        <f t="shared" si="4"/>
        <v>1</v>
      </c>
      <c r="H50" s="311" t="s">
        <v>4860</v>
      </c>
    </row>
    <row r="51" spans="1:8" x14ac:dyDescent="0.2">
      <c r="A51" s="311" t="str">
        <f t="shared" si="2"/>
        <v>_Neo_InfB_Cont_Stand_08</v>
      </c>
      <c r="B51">
        <v>0</v>
      </c>
      <c r="C51" s="311" t="str">
        <f t="shared" si="3"/>
        <v>_Neo_1700_Cont_Stand_08</v>
      </c>
      <c r="D51">
        <v>0</v>
      </c>
      <c r="E51" t="s">
        <v>4976</v>
      </c>
      <c r="F51" s="311" t="b">
        <f t="shared" si="4"/>
        <v>1</v>
      </c>
      <c r="H51" s="311" t="s">
        <v>4861</v>
      </c>
    </row>
    <row r="52" spans="1:8" x14ac:dyDescent="0.2">
      <c r="A52" s="311" t="str">
        <f t="shared" si="2"/>
        <v>_Neo_InfB_Cont_Stand_09</v>
      </c>
      <c r="B52">
        <v>0</v>
      </c>
      <c r="C52" s="311" t="str">
        <f t="shared" si="3"/>
        <v>_Neo_1700_Cont_Stand_09</v>
      </c>
      <c r="D52">
        <v>0</v>
      </c>
      <c r="E52" t="s">
        <v>4977</v>
      </c>
      <c r="F52" s="311" t="b">
        <f t="shared" si="4"/>
        <v>1</v>
      </c>
      <c r="H52" s="311" t="s">
        <v>4862</v>
      </c>
    </row>
    <row r="53" spans="1:8" x14ac:dyDescent="0.2">
      <c r="A53" s="311" t="str">
        <f t="shared" si="2"/>
        <v>_Neo_InfB_Cont_Stand_10</v>
      </c>
      <c r="B53">
        <v>0</v>
      </c>
      <c r="C53" s="311" t="str">
        <f t="shared" si="3"/>
        <v>_Neo_1700_Cont_Stand_10</v>
      </c>
      <c r="D53">
        <v>0</v>
      </c>
      <c r="E53" t="s">
        <v>4978</v>
      </c>
      <c r="F53" s="311" t="b">
        <f t="shared" si="4"/>
        <v>1</v>
      </c>
      <c r="H53" s="311" t="s">
        <v>4863</v>
      </c>
    </row>
    <row r="54" spans="1:8" x14ac:dyDescent="0.2">
      <c r="A54" s="311" t="str">
        <f t="shared" si="2"/>
        <v>_Neo_InfB_Cont_Stand_11</v>
      </c>
      <c r="B54">
        <v>0</v>
      </c>
      <c r="C54" s="311" t="str">
        <f t="shared" si="3"/>
        <v>_Neo_1700_Cont_Stand_11</v>
      </c>
      <c r="D54">
        <v>0</v>
      </c>
      <c r="E54" t="s">
        <v>4979</v>
      </c>
      <c r="F54" s="311" t="b">
        <f t="shared" si="4"/>
        <v>1</v>
      </c>
      <c r="H54" s="311" t="s">
        <v>4864</v>
      </c>
    </row>
    <row r="55" spans="1:8" x14ac:dyDescent="0.2">
      <c r="A55" s="311" t="str">
        <f t="shared" si="2"/>
        <v>_Neo_InfB_Cont_Stand_12</v>
      </c>
      <c r="B55">
        <v>0</v>
      </c>
      <c r="C55" s="311" t="str">
        <f t="shared" si="3"/>
        <v>_Neo_1700_Cont_Stand_12</v>
      </c>
      <c r="D55">
        <v>0</v>
      </c>
      <c r="E55" t="s">
        <v>4980</v>
      </c>
      <c r="F55" s="311" t="b">
        <f t="shared" si="4"/>
        <v>1</v>
      </c>
      <c r="H55" s="311" t="s">
        <v>4865</v>
      </c>
    </row>
    <row r="56" spans="1:8" x14ac:dyDescent="0.2">
      <c r="A56" s="311" t="str">
        <f t="shared" si="2"/>
        <v>_Neo_InfB_Cont_VochtExtra_01</v>
      </c>
      <c r="B56">
        <v>0</v>
      </c>
      <c r="C56" s="311" t="str">
        <f t="shared" si="3"/>
        <v>_Neo_1700_Cont_VochtExtra_01</v>
      </c>
      <c r="D56">
        <v>0</v>
      </c>
      <c r="E56" t="s">
        <v>4981</v>
      </c>
      <c r="F56" s="311" t="b">
        <f t="shared" si="4"/>
        <v>1</v>
      </c>
      <c r="H56" s="311" t="s">
        <v>4866</v>
      </c>
    </row>
    <row r="57" spans="1:8" x14ac:dyDescent="0.2">
      <c r="A57" s="311" t="str">
        <f t="shared" si="2"/>
        <v>_Neo_InfB_Cont_VochtExtra_02</v>
      </c>
      <c r="B57">
        <v>0</v>
      </c>
      <c r="C57" s="311" t="str">
        <f t="shared" si="3"/>
        <v>_Neo_1700_Cont_VochtExtra_02</v>
      </c>
      <c r="D57">
        <v>0</v>
      </c>
      <c r="E57" t="s">
        <v>4982</v>
      </c>
      <c r="F57" s="311" t="b">
        <f t="shared" si="4"/>
        <v>1</v>
      </c>
      <c r="H57" s="311" t="s">
        <v>4867</v>
      </c>
    </row>
    <row r="58" spans="1:8" x14ac:dyDescent="0.2">
      <c r="A58" s="311" t="str">
        <f t="shared" si="2"/>
        <v>_Neo_InfB_Cont_VochtExtra_03</v>
      </c>
      <c r="B58">
        <v>0</v>
      </c>
      <c r="C58" s="311" t="str">
        <f t="shared" si="3"/>
        <v>_Neo_1700_Cont_VochtExtra_03</v>
      </c>
      <c r="D58">
        <v>0</v>
      </c>
      <c r="E58" t="s">
        <v>4983</v>
      </c>
      <c r="F58" s="311" t="b">
        <f t="shared" si="4"/>
        <v>1</v>
      </c>
      <c r="H58" s="311" t="s">
        <v>4868</v>
      </c>
    </row>
    <row r="59" spans="1:8" x14ac:dyDescent="0.2">
      <c r="A59" s="311" t="str">
        <f t="shared" si="2"/>
        <v>_Neo_InfB_Cont_VochtExtra_04</v>
      </c>
      <c r="B59">
        <v>0</v>
      </c>
      <c r="C59" s="311" t="str">
        <f t="shared" si="3"/>
        <v>_Neo_1700_Cont_VochtExtra_04</v>
      </c>
      <c r="D59">
        <v>0</v>
      </c>
      <c r="E59" t="s">
        <v>4984</v>
      </c>
      <c r="F59" s="311" t="b">
        <f t="shared" si="4"/>
        <v>1</v>
      </c>
      <c r="H59" s="311" t="s">
        <v>4869</v>
      </c>
    </row>
    <row r="60" spans="1:8" x14ac:dyDescent="0.2">
      <c r="A60" s="311" t="str">
        <f t="shared" si="2"/>
        <v>_Neo_InfB_Cont_VochtExtra_05</v>
      </c>
      <c r="B60">
        <v>0</v>
      </c>
      <c r="C60" s="311" t="str">
        <f t="shared" si="3"/>
        <v>_Neo_1700_Cont_VochtExtra_05</v>
      </c>
      <c r="D60">
        <v>0</v>
      </c>
      <c r="E60" t="s">
        <v>4985</v>
      </c>
      <c r="F60" s="311" t="b">
        <f t="shared" si="4"/>
        <v>1</v>
      </c>
      <c r="H60" s="311" t="s">
        <v>4870</v>
      </c>
    </row>
    <row r="61" spans="1:8" x14ac:dyDescent="0.2">
      <c r="A61" s="311" t="str">
        <f t="shared" si="2"/>
        <v>_Neo_InfB_Cont_VochtExtra_06</v>
      </c>
      <c r="B61">
        <v>0</v>
      </c>
      <c r="C61" s="311" t="str">
        <f t="shared" si="3"/>
        <v>_Neo_1700_Cont_VochtExtra_06</v>
      </c>
      <c r="D61">
        <v>0</v>
      </c>
      <c r="E61" t="s">
        <v>4986</v>
      </c>
      <c r="F61" s="311" t="b">
        <f t="shared" si="4"/>
        <v>1</v>
      </c>
      <c r="H61" s="311" t="s">
        <v>4871</v>
      </c>
    </row>
    <row r="62" spans="1:8" x14ac:dyDescent="0.2">
      <c r="A62" s="311" t="str">
        <f t="shared" si="2"/>
        <v>_Neo_InfB_Cont_VochtExtra_07</v>
      </c>
      <c r="B62">
        <v>0</v>
      </c>
      <c r="C62" s="311" t="str">
        <f t="shared" si="3"/>
        <v>_Neo_1700_Cont_VochtExtra_07</v>
      </c>
      <c r="D62">
        <v>0</v>
      </c>
      <c r="E62" t="s">
        <v>4987</v>
      </c>
      <c r="F62" s="311" t="b">
        <f t="shared" si="4"/>
        <v>1</v>
      </c>
      <c r="H62" s="311" t="s">
        <v>4872</v>
      </c>
    </row>
    <row r="63" spans="1:8" x14ac:dyDescent="0.2">
      <c r="A63" s="311" t="str">
        <f t="shared" si="2"/>
        <v>_Neo_InfB_Cont_VochtExtra_08</v>
      </c>
      <c r="B63">
        <v>0</v>
      </c>
      <c r="C63" s="311" t="str">
        <f t="shared" si="3"/>
        <v>_Neo_1700_Cont_VochtExtra_08</v>
      </c>
      <c r="D63">
        <v>0</v>
      </c>
      <c r="E63" t="s">
        <v>4988</v>
      </c>
      <c r="F63" s="311" t="b">
        <f t="shared" si="4"/>
        <v>1</v>
      </c>
      <c r="H63" s="311" t="s">
        <v>4873</v>
      </c>
    </row>
    <row r="64" spans="1:8" x14ac:dyDescent="0.2">
      <c r="A64" s="311" t="str">
        <f t="shared" si="2"/>
        <v>_Neo_InfB_Cont_VochtExtra_09</v>
      </c>
      <c r="B64">
        <v>0</v>
      </c>
      <c r="C64" s="311" t="str">
        <f t="shared" si="3"/>
        <v>_Neo_1700_Cont_VochtExtra_09</v>
      </c>
      <c r="D64">
        <v>0</v>
      </c>
      <c r="E64" t="s">
        <v>4989</v>
      </c>
      <c r="F64" s="311" t="b">
        <f t="shared" si="4"/>
        <v>1</v>
      </c>
      <c r="H64" s="311" t="s">
        <v>4874</v>
      </c>
    </row>
    <row r="65" spans="1:8" x14ac:dyDescent="0.2">
      <c r="A65" s="311" t="str">
        <f t="shared" si="2"/>
        <v>_Neo_InfB_Cont_VochtExtra_10</v>
      </c>
      <c r="B65">
        <v>0</v>
      </c>
      <c r="C65" s="311" t="str">
        <f t="shared" si="3"/>
        <v>_Neo_1700_Cont_VochtExtra_10</v>
      </c>
      <c r="D65">
        <v>0</v>
      </c>
      <c r="E65" t="s">
        <v>4990</v>
      </c>
      <c r="F65" s="311" t="b">
        <f t="shared" si="4"/>
        <v>1</v>
      </c>
      <c r="H65" s="311" t="s">
        <v>4875</v>
      </c>
    </row>
    <row r="66" spans="1:8" x14ac:dyDescent="0.2">
      <c r="A66" s="311" t="str">
        <f t="shared" si="2"/>
        <v>_Neo_InfB_Cont_VochtExtra_11</v>
      </c>
      <c r="B66" t="b">
        <v>0</v>
      </c>
      <c r="C66" s="311" t="str">
        <f t="shared" ref="C66:C92" si="5">REPLACE(A66,6,4,"1700")</f>
        <v>_Neo_1700_Cont_VochtExtra_11</v>
      </c>
      <c r="D66" t="b">
        <v>0</v>
      </c>
      <c r="E66" t="s">
        <v>4991</v>
      </c>
      <c r="F66" s="311" t="b">
        <f t="shared" ref="F66:F92" si="6">"Var"&amp;A66=E66</f>
        <v>1</v>
      </c>
      <c r="H66" s="311" t="s">
        <v>4876</v>
      </c>
    </row>
    <row r="67" spans="1:8" x14ac:dyDescent="0.2">
      <c r="A67" s="311" t="str">
        <f t="shared" ref="A67:A106" si="7">H67</f>
        <v>_Neo_InfB_Cont_VochtExtra_12</v>
      </c>
      <c r="B67" t="b">
        <v>0</v>
      </c>
      <c r="C67" s="311" t="str">
        <f t="shared" si="5"/>
        <v>_Neo_1700_Cont_VochtExtra_12</v>
      </c>
      <c r="D67" t="b">
        <v>0</v>
      </c>
      <c r="E67" t="s">
        <v>4992</v>
      </c>
      <c r="F67" s="311" t="b">
        <f t="shared" si="6"/>
        <v>1</v>
      </c>
      <c r="H67" s="311" t="s">
        <v>4877</v>
      </c>
    </row>
    <row r="68" spans="1:8" x14ac:dyDescent="0.2">
      <c r="A68" s="311" t="str">
        <f t="shared" si="7"/>
        <v>_Neo_InfB_Cont_VochtExtra_13</v>
      </c>
      <c r="B68" t="b">
        <v>0</v>
      </c>
      <c r="C68" s="311" t="str">
        <f t="shared" si="5"/>
        <v>_Neo_1700_Cont_VochtExtra_13</v>
      </c>
      <c r="D68" t="b">
        <v>0</v>
      </c>
      <c r="E68" t="s">
        <v>4993</v>
      </c>
      <c r="F68" s="311" t="b">
        <f t="shared" si="6"/>
        <v>1</v>
      </c>
      <c r="H68" s="311" t="s">
        <v>4878</v>
      </c>
    </row>
    <row r="69" spans="1:8" x14ac:dyDescent="0.2">
      <c r="A69" s="311" t="str">
        <f t="shared" si="7"/>
        <v>_Neo_InfB_Cont_VochtExtra_14</v>
      </c>
      <c r="B69" t="b">
        <v>0</v>
      </c>
      <c r="C69" s="311" t="str">
        <f t="shared" si="5"/>
        <v>_Neo_1700_Cont_VochtExtra_14</v>
      </c>
      <c r="D69" t="b">
        <v>0</v>
      </c>
      <c r="E69" t="s">
        <v>4994</v>
      </c>
      <c r="F69" s="311" t="b">
        <f t="shared" si="6"/>
        <v>1</v>
      </c>
      <c r="H69" s="311" t="s">
        <v>4879</v>
      </c>
    </row>
    <row r="70" spans="1:8" x14ac:dyDescent="0.2">
      <c r="A70" s="311" t="str">
        <f t="shared" si="7"/>
        <v>_Neo_InfB_Ent_Frequentie_1</v>
      </c>
      <c r="B70">
        <v>0</v>
      </c>
      <c r="C70" s="311" t="str">
        <f t="shared" si="5"/>
        <v>_Neo_1700_Ent_Frequentie_1</v>
      </c>
      <c r="D70">
        <v>0</v>
      </c>
      <c r="E70" t="s">
        <v>4995</v>
      </c>
      <c r="F70" s="311" t="b">
        <f t="shared" si="6"/>
        <v>1</v>
      </c>
      <c r="H70" s="311" t="s">
        <v>4880</v>
      </c>
    </row>
    <row r="71" spans="1:8" x14ac:dyDescent="0.2">
      <c r="A71" s="311" t="str">
        <f t="shared" si="7"/>
        <v>_Neo_InfB_Ent_Frequentie_2</v>
      </c>
      <c r="B71">
        <v>0</v>
      </c>
      <c r="C71" s="311" t="str">
        <f t="shared" si="5"/>
        <v>_Neo_1700_Ent_Frequentie_2</v>
      </c>
      <c r="D71">
        <v>0</v>
      </c>
      <c r="E71" t="s">
        <v>4996</v>
      </c>
      <c r="F71" s="311" t="b">
        <f t="shared" si="6"/>
        <v>1</v>
      </c>
      <c r="H71" s="311" t="s">
        <v>4881</v>
      </c>
    </row>
    <row r="72" spans="1:8" x14ac:dyDescent="0.2">
      <c r="A72" s="311" t="str">
        <f t="shared" si="7"/>
        <v>_Neo_InfB_Ent_Hoeveelheid_1</v>
      </c>
      <c r="B72">
        <v>0</v>
      </c>
      <c r="C72" s="311" t="str">
        <f t="shared" si="5"/>
        <v>_Neo_1700_Ent_Hoeveelheid_1</v>
      </c>
      <c r="D72">
        <v>0</v>
      </c>
      <c r="E72" t="s">
        <v>4997</v>
      </c>
      <c r="F72" s="311" t="b">
        <f t="shared" si="6"/>
        <v>1</v>
      </c>
      <c r="H72" s="311" t="s">
        <v>4882</v>
      </c>
    </row>
    <row r="73" spans="1:8" x14ac:dyDescent="0.2">
      <c r="A73" s="311" t="str">
        <f t="shared" si="7"/>
        <v>_Neo_InfB_Ent_Hoeveelheid_2</v>
      </c>
      <c r="B73">
        <v>0</v>
      </c>
      <c r="C73" s="311" t="str">
        <f t="shared" si="5"/>
        <v>_Neo_1700_Ent_Hoeveelheid_2</v>
      </c>
      <c r="D73">
        <v>0</v>
      </c>
      <c r="E73" t="s">
        <v>4998</v>
      </c>
      <c r="F73" s="311" t="b">
        <f t="shared" si="6"/>
        <v>1</v>
      </c>
      <c r="H73" s="311" t="s">
        <v>4883</v>
      </c>
    </row>
    <row r="74" spans="1:8" x14ac:dyDescent="0.2">
      <c r="A74" s="311" t="str">
        <f t="shared" si="7"/>
        <v>_Neo_InfB_Ent_PercentageKeuze_0</v>
      </c>
      <c r="B74">
        <v>1</v>
      </c>
      <c r="C74" s="311" t="str">
        <f t="shared" si="5"/>
        <v>_Neo_1700_Ent_PercentageKeuze_0</v>
      </c>
      <c r="D74">
        <v>1</v>
      </c>
      <c r="E74" t="s">
        <v>4999</v>
      </c>
      <c r="F74" s="311" t="b">
        <f t="shared" si="6"/>
        <v>1</v>
      </c>
      <c r="H74" s="311" t="s">
        <v>4884</v>
      </c>
    </row>
    <row r="75" spans="1:8" x14ac:dyDescent="0.2">
      <c r="A75" s="311" t="str">
        <f t="shared" si="7"/>
        <v>_Neo_InfB_Ent_PercentageKeuze_1</v>
      </c>
      <c r="B75">
        <v>1</v>
      </c>
      <c r="C75" s="311" t="str">
        <f t="shared" si="5"/>
        <v>_Neo_1700_Ent_PercentageKeuze_1</v>
      </c>
      <c r="D75">
        <v>1</v>
      </c>
      <c r="E75" t="s">
        <v>5000</v>
      </c>
      <c r="F75" s="311" t="b">
        <f t="shared" si="6"/>
        <v>1</v>
      </c>
      <c r="H75" s="311" t="s">
        <v>4885</v>
      </c>
    </row>
    <row r="76" spans="1:8" x14ac:dyDescent="0.2">
      <c r="A76" s="311" t="str">
        <f t="shared" si="7"/>
        <v>_Neo_InfB_Ent_PercentageKeuze_2</v>
      </c>
      <c r="B76">
        <v>1</v>
      </c>
      <c r="C76" s="311" t="str">
        <f t="shared" si="5"/>
        <v>_Neo_1700_Ent_PercentageKeuze_2</v>
      </c>
      <c r="D76">
        <v>1</v>
      </c>
      <c r="E76" t="s">
        <v>5001</v>
      </c>
      <c r="F76" s="311" t="b">
        <f t="shared" si="6"/>
        <v>1</v>
      </c>
      <c r="H76" s="311" t="s">
        <v>4886</v>
      </c>
    </row>
    <row r="77" spans="1:8" x14ac:dyDescent="0.2">
      <c r="A77" s="311" t="str">
        <f t="shared" si="7"/>
        <v>_Neo_InfB_Ent_PercentageKeuze_3</v>
      </c>
      <c r="B77">
        <v>1</v>
      </c>
      <c r="C77" s="311" t="str">
        <f t="shared" si="5"/>
        <v>_Neo_1700_Ent_PercentageKeuze_3</v>
      </c>
      <c r="D77">
        <v>1</v>
      </c>
      <c r="E77" t="s">
        <v>5002</v>
      </c>
      <c r="F77" s="311" t="b">
        <f t="shared" si="6"/>
        <v>1</v>
      </c>
      <c r="H77" s="311" t="s">
        <v>4887</v>
      </c>
    </row>
    <row r="78" spans="1:8" x14ac:dyDescent="0.2">
      <c r="A78" s="311" t="str">
        <f t="shared" si="7"/>
        <v>_Neo_InfB_Ent_PercentageKeuze_4</v>
      </c>
      <c r="B78">
        <v>1</v>
      </c>
      <c r="C78" s="311" t="str">
        <f t="shared" si="5"/>
        <v>_Neo_1700_Ent_PercentageKeuze_4</v>
      </c>
      <c r="D78">
        <v>1</v>
      </c>
      <c r="E78" t="s">
        <v>5003</v>
      </c>
      <c r="F78" s="311" t="b">
        <f t="shared" si="6"/>
        <v>1</v>
      </c>
      <c r="H78" s="311" t="s">
        <v>4888</v>
      </c>
    </row>
    <row r="79" spans="1:8" x14ac:dyDescent="0.2">
      <c r="A79" s="311" t="str">
        <f t="shared" si="7"/>
        <v>_Neo_InfB_Ent_PercentageKeuze_5</v>
      </c>
      <c r="B79">
        <v>1</v>
      </c>
      <c r="C79" s="311" t="str">
        <f t="shared" si="5"/>
        <v>_Neo_1700_Ent_PercentageKeuze_5</v>
      </c>
      <c r="D79">
        <v>1</v>
      </c>
      <c r="E79" t="s">
        <v>5004</v>
      </c>
      <c r="F79" s="311" t="b">
        <f t="shared" si="6"/>
        <v>1</v>
      </c>
      <c r="H79" s="311" t="s">
        <v>4889</v>
      </c>
    </row>
    <row r="80" spans="1:8" x14ac:dyDescent="0.2">
      <c r="A80" s="311" t="str">
        <f t="shared" si="7"/>
        <v>_Neo_InfB_Ent_PercentageKeuze_6</v>
      </c>
      <c r="B80">
        <v>1</v>
      </c>
      <c r="C80" s="311" t="str">
        <f t="shared" si="5"/>
        <v>_Neo_1700_Ent_PercentageKeuze_6</v>
      </c>
      <c r="D80">
        <v>1</v>
      </c>
      <c r="E80" t="s">
        <v>5005</v>
      </c>
      <c r="F80" s="311" t="b">
        <f t="shared" si="6"/>
        <v>1</v>
      </c>
      <c r="H80" s="311" t="s">
        <v>4890</v>
      </c>
    </row>
    <row r="81" spans="1:8" x14ac:dyDescent="0.2">
      <c r="A81" s="311" t="str">
        <f t="shared" si="7"/>
        <v>_Neo_InfB_Ent_PercentageKeuze_7</v>
      </c>
      <c r="B81">
        <v>1</v>
      </c>
      <c r="C81" s="311" t="str">
        <f t="shared" si="5"/>
        <v>_Neo_1700_Ent_PercentageKeuze_7</v>
      </c>
      <c r="D81">
        <v>1</v>
      </c>
      <c r="E81" t="s">
        <v>5006</v>
      </c>
      <c r="F81" s="311" t="b">
        <f t="shared" si="6"/>
        <v>1</v>
      </c>
      <c r="H81" s="311" t="s">
        <v>4891</v>
      </c>
    </row>
    <row r="82" spans="1:8" x14ac:dyDescent="0.2">
      <c r="A82" s="311" t="str">
        <f t="shared" si="7"/>
        <v>_Neo_InfB_Ent_PercentageKeuze_8</v>
      </c>
      <c r="B82">
        <v>1</v>
      </c>
      <c r="C82" s="311" t="str">
        <f t="shared" si="5"/>
        <v>_Neo_1700_Ent_PercentageKeuze_8</v>
      </c>
      <c r="D82">
        <v>1</v>
      </c>
      <c r="E82" t="s">
        <v>5007</v>
      </c>
      <c r="F82" s="311" t="b">
        <f t="shared" si="6"/>
        <v>1</v>
      </c>
      <c r="H82" s="311" t="s">
        <v>4892</v>
      </c>
    </row>
    <row r="83" spans="1:8" x14ac:dyDescent="0.2">
      <c r="A83" s="311" t="str">
        <f t="shared" si="7"/>
        <v>_Neo_InfB_Ent_Toevoeging_1</v>
      </c>
      <c r="B83">
        <v>1</v>
      </c>
      <c r="C83" s="311" t="str">
        <f t="shared" si="5"/>
        <v>_Neo_1700_Ent_Toevoeging_1</v>
      </c>
      <c r="D83">
        <v>1</v>
      </c>
      <c r="E83" t="s">
        <v>5008</v>
      </c>
      <c r="F83" s="311" t="b">
        <f t="shared" si="6"/>
        <v>1</v>
      </c>
      <c r="H83" s="311" t="s">
        <v>4893</v>
      </c>
    </row>
    <row r="84" spans="1:8" x14ac:dyDescent="0.2">
      <c r="A84" s="311" t="str">
        <f t="shared" si="7"/>
        <v>_Neo_InfB_Ent_Toevoeging_2</v>
      </c>
      <c r="B84">
        <v>1</v>
      </c>
      <c r="C84" s="311" t="str">
        <f t="shared" si="5"/>
        <v>_Neo_1700_Ent_Toevoeging_2</v>
      </c>
      <c r="D84">
        <v>1</v>
      </c>
      <c r="E84" t="s">
        <v>5009</v>
      </c>
      <c r="F84" s="311" t="b">
        <f t="shared" si="6"/>
        <v>1</v>
      </c>
      <c r="H84" s="311" t="s">
        <v>4894</v>
      </c>
    </row>
    <row r="85" spans="1:8" x14ac:dyDescent="0.2">
      <c r="A85" s="311" t="str">
        <f t="shared" si="7"/>
        <v>_Neo_InfB_Ent_Toevoeging_3</v>
      </c>
      <c r="B85">
        <v>1</v>
      </c>
      <c r="C85" s="311" t="str">
        <f t="shared" si="5"/>
        <v>_Neo_1700_Ent_Toevoeging_3</v>
      </c>
      <c r="D85">
        <v>1</v>
      </c>
      <c r="E85" t="s">
        <v>5010</v>
      </c>
      <c r="F85" s="311" t="b">
        <f t="shared" si="6"/>
        <v>1</v>
      </c>
      <c r="H85" s="311" t="s">
        <v>4895</v>
      </c>
    </row>
    <row r="86" spans="1:8" x14ac:dyDescent="0.2">
      <c r="A86" s="311" t="str">
        <f t="shared" si="7"/>
        <v>_Neo_InfB_Ent_Toevoeging_4</v>
      </c>
      <c r="B86">
        <v>1</v>
      </c>
      <c r="C86" s="311" t="str">
        <f t="shared" si="5"/>
        <v>_Neo_1700_Ent_Toevoeging_4</v>
      </c>
      <c r="D86">
        <v>1</v>
      </c>
      <c r="E86" t="s">
        <v>5011</v>
      </c>
      <c r="F86" s="311" t="b">
        <f t="shared" si="6"/>
        <v>1</v>
      </c>
      <c r="H86" s="311" t="s">
        <v>4896</v>
      </c>
    </row>
    <row r="87" spans="1:8" x14ac:dyDescent="0.2">
      <c r="A87" s="311" t="str">
        <f t="shared" si="7"/>
        <v>_Neo_InfB_Ent_Toevoeging_5</v>
      </c>
      <c r="B87">
        <v>1</v>
      </c>
      <c r="C87" s="311" t="str">
        <f t="shared" si="5"/>
        <v>_Neo_1700_Ent_Toevoeging_5</v>
      </c>
      <c r="D87">
        <v>1</v>
      </c>
      <c r="E87" t="s">
        <v>5012</v>
      </c>
      <c r="F87" s="311" t="b">
        <f t="shared" si="6"/>
        <v>1</v>
      </c>
      <c r="H87" s="311" t="s">
        <v>4897</v>
      </c>
    </row>
    <row r="88" spans="1:8" x14ac:dyDescent="0.2">
      <c r="A88" s="311" t="str">
        <f t="shared" si="7"/>
        <v>_Neo_InfB_Ent_Toevoeging_6</v>
      </c>
      <c r="B88">
        <v>1</v>
      </c>
      <c r="C88" s="311" t="str">
        <f t="shared" si="5"/>
        <v>_Neo_1700_Ent_Toevoeging_6</v>
      </c>
      <c r="D88">
        <v>1</v>
      </c>
      <c r="E88" t="s">
        <v>5013</v>
      </c>
      <c r="F88" s="311" t="b">
        <f t="shared" si="6"/>
        <v>1</v>
      </c>
      <c r="H88" s="311" t="s">
        <v>4898</v>
      </c>
    </row>
    <row r="89" spans="1:8" x14ac:dyDescent="0.2">
      <c r="A89" s="311" t="str">
        <f t="shared" si="7"/>
        <v>_Neo_InfB_Ent_Toevoeging_7</v>
      </c>
      <c r="B89">
        <v>1</v>
      </c>
      <c r="C89" s="311" t="str">
        <f t="shared" si="5"/>
        <v>_Neo_1700_Ent_Toevoeging_7</v>
      </c>
      <c r="D89">
        <v>1</v>
      </c>
      <c r="E89" t="s">
        <v>5014</v>
      </c>
      <c r="F89" s="311" t="b">
        <f t="shared" si="6"/>
        <v>1</v>
      </c>
      <c r="H89" s="311" t="s">
        <v>4899</v>
      </c>
    </row>
    <row r="90" spans="1:8" x14ac:dyDescent="0.2">
      <c r="A90" s="311" t="str">
        <f t="shared" si="7"/>
        <v>_Neo_InfB_Ent_Toevoeging_8</v>
      </c>
      <c r="B90">
        <v>1</v>
      </c>
      <c r="C90" s="311" t="str">
        <f t="shared" si="5"/>
        <v>_Neo_1700_Ent_Toevoeging_8</v>
      </c>
      <c r="D90">
        <v>1</v>
      </c>
      <c r="E90" t="s">
        <v>5015</v>
      </c>
      <c r="F90" s="311" t="b">
        <f t="shared" si="6"/>
        <v>1</v>
      </c>
      <c r="H90" s="311" t="s">
        <v>4900</v>
      </c>
    </row>
    <row r="91" spans="1:8" x14ac:dyDescent="0.2">
      <c r="A91" s="311" t="str">
        <f t="shared" si="7"/>
        <v>_Neo_InfB_Ent_Voeding</v>
      </c>
      <c r="B91">
        <v>1</v>
      </c>
      <c r="C91" s="311" t="str">
        <f t="shared" si="5"/>
        <v>_Neo_1700_Ent_Voeding</v>
      </c>
      <c r="D91">
        <v>1</v>
      </c>
      <c r="E91" t="s">
        <v>5016</v>
      </c>
      <c r="F91" s="311" t="b">
        <f t="shared" si="6"/>
        <v>1</v>
      </c>
      <c r="H91" s="311" t="s">
        <v>4901</v>
      </c>
    </row>
    <row r="92" spans="1:8" x14ac:dyDescent="0.2">
      <c r="A92" s="311" t="str">
        <f t="shared" si="7"/>
        <v>_Neo_InfB_TPN_CaCl2</v>
      </c>
      <c r="B92">
        <v>5000</v>
      </c>
      <c r="C92" s="311" t="str">
        <f t="shared" si="5"/>
        <v>_Neo_1700_TPN_CaCl2</v>
      </c>
      <c r="D92">
        <v>5000</v>
      </c>
      <c r="E92" t="s">
        <v>5017</v>
      </c>
      <c r="F92" s="311" t="b">
        <f t="shared" si="6"/>
        <v>1</v>
      </c>
      <c r="H92" s="311" t="s">
        <v>4902</v>
      </c>
    </row>
    <row r="93" spans="1:8" x14ac:dyDescent="0.2">
      <c r="A93" s="311" t="str">
        <f t="shared" si="7"/>
        <v>_Neo_InfB_TPN_DagKeuze</v>
      </c>
      <c r="B93">
        <v>1</v>
      </c>
      <c r="C93" s="311" t="str">
        <f t="shared" ref="C93:C103" si="8">REPLACE(A93,6,4,"1700")</f>
        <v>_Neo_1700_TPN_DagKeuze</v>
      </c>
      <c r="D93">
        <v>1</v>
      </c>
      <c r="E93" t="s">
        <v>5018</v>
      </c>
      <c r="F93" s="311" t="b">
        <f t="shared" ref="F93:F103" si="9">"Var"&amp;A93=E93</f>
        <v>1</v>
      </c>
      <c r="H93" s="311" t="s">
        <v>4903</v>
      </c>
    </row>
    <row r="94" spans="1:8" x14ac:dyDescent="0.2">
      <c r="A94" s="311" t="str">
        <f t="shared" si="7"/>
        <v>_Neo_InfB_TPN_Fototherapie</v>
      </c>
      <c r="B94">
        <v>2</v>
      </c>
      <c r="C94" s="311" t="str">
        <f t="shared" si="8"/>
        <v>_Neo_1700_TPN_Fototherapie</v>
      </c>
      <c r="D94">
        <v>2</v>
      </c>
      <c r="E94" t="s">
        <v>5019</v>
      </c>
      <c r="F94" s="311" t="b">
        <f t="shared" si="9"/>
        <v>1</v>
      </c>
      <c r="H94" s="311" t="s">
        <v>4904</v>
      </c>
    </row>
    <row r="95" spans="1:8" x14ac:dyDescent="0.2">
      <c r="A95" s="311" t="str">
        <f t="shared" si="7"/>
        <v>_Neo_InfB_TPN_GlucSterkte</v>
      </c>
      <c r="B95">
        <v>2</v>
      </c>
      <c r="C95" s="311" t="str">
        <f t="shared" si="8"/>
        <v>_Neo_1700_TPN_GlucSterkte</v>
      </c>
      <c r="D95">
        <v>2</v>
      </c>
      <c r="E95" t="s">
        <v>5020</v>
      </c>
      <c r="F95" s="311" t="b">
        <f t="shared" si="9"/>
        <v>1</v>
      </c>
      <c r="H95" s="311" t="s">
        <v>4905</v>
      </c>
    </row>
    <row r="96" spans="1:8" x14ac:dyDescent="0.2">
      <c r="A96" s="311" t="str">
        <f t="shared" si="7"/>
        <v>_Neo_InfB_TPN_IntakePerKg</v>
      </c>
      <c r="B96">
        <v>5000</v>
      </c>
      <c r="C96" s="311" t="str">
        <f t="shared" si="8"/>
        <v>_Neo_1700_TPN_IntakePerKg</v>
      </c>
      <c r="D96">
        <v>5000</v>
      </c>
      <c r="E96" t="s">
        <v>5021</v>
      </c>
      <c r="F96" s="311" t="b">
        <f t="shared" si="9"/>
        <v>1</v>
      </c>
      <c r="H96" s="311" t="s">
        <v>4906</v>
      </c>
    </row>
    <row r="97" spans="1:8" x14ac:dyDescent="0.2">
      <c r="A97" s="311" t="str">
        <f t="shared" si="7"/>
        <v>_Neo_InfB_TPN_IntraLipid</v>
      </c>
      <c r="B97">
        <v>5000</v>
      </c>
      <c r="C97" s="311" t="str">
        <f t="shared" si="8"/>
        <v>_Neo_1700_TPN_IntraLipid</v>
      </c>
      <c r="D97">
        <v>5000</v>
      </c>
      <c r="E97" t="s">
        <v>5022</v>
      </c>
      <c r="F97" s="311" t="b">
        <f t="shared" si="9"/>
        <v>1</v>
      </c>
      <c r="H97" s="311" t="s">
        <v>4907</v>
      </c>
    </row>
    <row r="98" spans="1:8" x14ac:dyDescent="0.2">
      <c r="A98" s="311" t="str">
        <f t="shared" si="7"/>
        <v>_Neo_InfB_TPN_IntralipidSmof</v>
      </c>
      <c r="B98">
        <v>1</v>
      </c>
      <c r="C98" s="311" t="str">
        <f t="shared" si="8"/>
        <v>_Neo_1700_TPN_IntralipidSmof</v>
      </c>
      <c r="D98">
        <v>1</v>
      </c>
      <c r="E98" t="s">
        <v>5023</v>
      </c>
      <c r="F98" s="311" t="b">
        <f t="shared" si="9"/>
        <v>1</v>
      </c>
      <c r="H98" s="311" t="s">
        <v>4908</v>
      </c>
    </row>
    <row r="99" spans="1:8" x14ac:dyDescent="0.2">
      <c r="A99" s="311" t="str">
        <f t="shared" si="7"/>
        <v>_Neo_InfB_TPN_KCl</v>
      </c>
      <c r="B99">
        <v>5000</v>
      </c>
      <c r="C99" s="311" t="str">
        <f t="shared" si="8"/>
        <v>_Neo_1700_TPN_KCl</v>
      </c>
      <c r="D99">
        <v>5000</v>
      </c>
      <c r="E99" t="s">
        <v>5024</v>
      </c>
      <c r="F99" s="311" t="b">
        <f t="shared" si="9"/>
        <v>1</v>
      </c>
      <c r="H99" s="311" t="s">
        <v>4909</v>
      </c>
    </row>
    <row r="100" spans="1:8" x14ac:dyDescent="0.2">
      <c r="A100" s="311" t="str">
        <f t="shared" si="7"/>
        <v>_Neo_InfB_TPN_MgCl2</v>
      </c>
      <c r="B100">
        <v>5000</v>
      </c>
      <c r="C100" s="311" t="str">
        <f t="shared" si="8"/>
        <v>_Neo_1700_TPN_MgCl2</v>
      </c>
      <c r="D100">
        <v>5000</v>
      </c>
      <c r="E100" t="s">
        <v>5025</v>
      </c>
      <c r="F100" s="311" t="b">
        <f t="shared" si="9"/>
        <v>1</v>
      </c>
      <c r="H100" s="311" t="s">
        <v>4910</v>
      </c>
    </row>
    <row r="101" spans="1:8" x14ac:dyDescent="0.2">
      <c r="A101" s="311" t="str">
        <f t="shared" si="7"/>
        <v>_Neo_InfB_TPN_Nacl</v>
      </c>
      <c r="B101">
        <v>5000</v>
      </c>
      <c r="C101" s="311" t="str">
        <f>REPLACE(A101,6,4,"1700")</f>
        <v>_Neo_1700_TPN_Nacl</v>
      </c>
      <c r="D101">
        <v>5000</v>
      </c>
      <c r="E101" t="s">
        <v>5026</v>
      </c>
      <c r="F101" s="311" t="b">
        <f>"Var"&amp;A101=E101</f>
        <v>1</v>
      </c>
      <c r="H101" s="311" t="s">
        <v>4911</v>
      </c>
    </row>
    <row r="102" spans="1:8" x14ac:dyDescent="0.2">
      <c r="A102" s="311" t="str">
        <f t="shared" si="7"/>
        <v>_Neo_InfB_TPN_NICUMix</v>
      </c>
      <c r="B102">
        <v>5000</v>
      </c>
      <c r="C102" s="311" t="str">
        <f t="shared" si="8"/>
        <v>_Neo_1700_TPN_NICUMix</v>
      </c>
      <c r="D102">
        <v>5000</v>
      </c>
      <c r="E102" t="s">
        <v>5027</v>
      </c>
      <c r="F102" s="311" t="b">
        <f t="shared" si="9"/>
        <v>1</v>
      </c>
      <c r="H102" s="311" t="s">
        <v>4912</v>
      </c>
    </row>
    <row r="103" spans="1:8" x14ac:dyDescent="0.2">
      <c r="A103" s="311" t="str">
        <f t="shared" si="7"/>
        <v>_Neo_InfB_TPN_Parenteraal</v>
      </c>
      <c r="B103" t="b">
        <v>0</v>
      </c>
      <c r="C103" s="311" t="str">
        <f t="shared" si="8"/>
        <v>_Neo_1700_TPN_Parenteraal</v>
      </c>
      <c r="D103" t="b">
        <v>0</v>
      </c>
      <c r="E103" t="s">
        <v>5028</v>
      </c>
      <c r="F103" s="311" t="b">
        <f t="shared" si="9"/>
        <v>1</v>
      </c>
      <c r="H103" s="311" t="s">
        <v>4913</v>
      </c>
    </row>
    <row r="104" spans="1:8" x14ac:dyDescent="0.2">
      <c r="A104" s="311" t="str">
        <f t="shared" si="7"/>
        <v>_Neo_InfB_TPN_Primene</v>
      </c>
      <c r="B104">
        <v>5000</v>
      </c>
      <c r="C104" s="311" t="str">
        <f t="shared" ref="C104:C106" si="10">REPLACE(A104,6,4,"1700")</f>
        <v>_Neo_1700_TPN_Primene</v>
      </c>
      <c r="D104">
        <v>5000</v>
      </c>
      <c r="E104" t="s">
        <v>5029</v>
      </c>
      <c r="F104" s="311" t="b">
        <f t="shared" ref="F104:F106" si="11">"Var"&amp;A104=E104</f>
        <v>1</v>
      </c>
      <c r="H104" s="311" t="s">
        <v>4914</v>
      </c>
    </row>
    <row r="105" spans="1:8" x14ac:dyDescent="0.2">
      <c r="A105" s="311" t="str">
        <f t="shared" si="7"/>
        <v>_Neo_InfB_TPN_SoluVit</v>
      </c>
      <c r="B105">
        <v>5000</v>
      </c>
      <c r="C105" s="311" t="str">
        <f t="shared" si="10"/>
        <v>_Neo_1700_TPN_SoluVit</v>
      </c>
      <c r="D105">
        <v>5000</v>
      </c>
      <c r="E105" t="s">
        <v>5030</v>
      </c>
      <c r="F105" s="311" t="b">
        <f t="shared" si="11"/>
        <v>1</v>
      </c>
      <c r="H105" s="311" t="s">
        <v>4915</v>
      </c>
    </row>
    <row r="106" spans="1:8" x14ac:dyDescent="0.2">
      <c r="A106" s="311" t="str">
        <f t="shared" si="7"/>
        <v>_Neo_InfB_TPN_SSTB</v>
      </c>
      <c r="B106">
        <v>5000</v>
      </c>
      <c r="C106" s="311" t="str">
        <f t="shared" si="10"/>
        <v>_Neo_1700_TPN_SSTB</v>
      </c>
      <c r="D106">
        <v>5000</v>
      </c>
      <c r="E106" t="s">
        <v>5031</v>
      </c>
      <c r="F106" s="311" t="b">
        <f t="shared" si="11"/>
        <v>1</v>
      </c>
      <c r="H106" s="311" t="s">
        <v>4916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</sheetPr>
  <dimension ref="A1:P57"/>
  <sheetViews>
    <sheetView workbookViewId="0">
      <selection activeCell="A7" sqref="A7"/>
    </sheetView>
  </sheetViews>
  <sheetFormatPr defaultColWidth="5.7109375" defaultRowHeight="12.75" x14ac:dyDescent="0.2"/>
  <cols>
    <col min="1" max="12" width="5.7109375" style="204"/>
    <col min="13" max="14" width="7.85546875" style="204" customWidth="1"/>
    <col min="15" max="16384" width="5.7109375" style="204"/>
  </cols>
  <sheetData>
    <row r="1" spans="1:16" x14ac:dyDescent="0.2">
      <c r="A1" s="366" t="s">
        <v>503</v>
      </c>
      <c r="L1" s="204" t="s">
        <v>490</v>
      </c>
      <c r="M1" s="205">
        <f>__1_Bed</f>
        <v>0</v>
      </c>
    </row>
    <row r="2" spans="1:16" x14ac:dyDescent="0.2">
      <c r="A2" s="204" t="s">
        <v>504</v>
      </c>
      <c r="C2" s="206" t="str">
        <f>__3_VoorNaam&amp;" "&amp;__2_AchterNaam</f>
        <v xml:space="preserve"> </v>
      </c>
      <c r="G2" s="204" t="s">
        <v>505</v>
      </c>
      <c r="I2" s="945">
        <f ca="1">TODAY()</f>
        <v>42751</v>
      </c>
      <c r="J2" s="945"/>
      <c r="K2" s="945"/>
      <c r="L2" s="204" t="s">
        <v>506</v>
      </c>
      <c r="M2" s="946">
        <f ca="1">NOW()</f>
        <v>42751.133235185189</v>
      </c>
      <c r="N2" s="946"/>
    </row>
    <row r="3" spans="1:16" x14ac:dyDescent="0.2">
      <c r="A3" s="204" t="s">
        <v>507</v>
      </c>
      <c r="C3" s="206">
        <f>(_Pat_Gewicht/10)*1000</f>
        <v>0</v>
      </c>
      <c r="D3" s="204" t="s">
        <v>31</v>
      </c>
      <c r="I3" s="437"/>
      <c r="J3" s="437"/>
      <c r="K3" s="437"/>
      <c r="M3" s="207"/>
      <c r="N3" s="207"/>
    </row>
    <row r="4" spans="1:16" x14ac:dyDescent="0.2">
      <c r="G4" s="204" t="s">
        <v>508</v>
      </c>
      <c r="I4" s="206"/>
      <c r="L4" s="204" t="s">
        <v>509</v>
      </c>
      <c r="M4" s="208"/>
      <c r="N4" s="208"/>
      <c r="O4" s="208"/>
      <c r="P4" s="208"/>
    </row>
    <row r="5" spans="1:16" x14ac:dyDescent="0.2">
      <c r="A5" s="209" t="s">
        <v>171</v>
      </c>
      <c r="B5" s="210"/>
      <c r="C5" s="211" t="s">
        <v>510</v>
      </c>
      <c r="D5" s="211"/>
      <c r="E5" s="211"/>
      <c r="F5" s="211"/>
      <c r="G5" s="211"/>
      <c r="H5" s="212">
        <f ca="1">NeoGuiInfB!E28</f>
        <v>-10</v>
      </c>
      <c r="I5" s="211" t="s">
        <v>160</v>
      </c>
      <c r="J5" s="211"/>
      <c r="K5" s="211"/>
      <c r="L5" s="211"/>
      <c r="M5" s="947" t="s">
        <v>511</v>
      </c>
      <c r="N5" s="948"/>
      <c r="O5" s="213" t="s">
        <v>512</v>
      </c>
      <c r="P5" s="214"/>
    </row>
    <row r="6" spans="1:16" ht="15" x14ac:dyDescent="0.2">
      <c r="A6" s="371">
        <f>IF(M6&lt;&gt;"",M6/24,"")</f>
        <v>1</v>
      </c>
      <c r="B6" s="210"/>
      <c r="C6" s="209" t="str">
        <f>NeoGuiInfB!B30</f>
        <v>Arterielijn: 12 ml NaCl 0,45% + hep. (5EH/ml)</v>
      </c>
      <c r="D6" s="216"/>
      <c r="E6" s="216"/>
      <c r="F6" s="216"/>
      <c r="G6" s="216"/>
      <c r="H6" s="216"/>
      <c r="I6" s="216"/>
      <c r="J6" s="216"/>
      <c r="K6" s="216"/>
      <c r="L6" s="210"/>
      <c r="M6" s="217">
        <f>IF(24*NeoBerInfB!B22&gt;0,TRUNC(24*NeoBerInfB!B22/10),"")</f>
        <v>24</v>
      </c>
      <c r="N6" s="217">
        <f>IF(NeoBerInfB!B22&gt;0,(24*NeoBerInfB!B22/10-M6)*10,"")</f>
        <v>0</v>
      </c>
      <c r="O6" s="213" t="str">
        <f>IF(NeoBerInfB!I22,"extra","")</f>
        <v/>
      </c>
      <c r="P6" s="214"/>
    </row>
    <row r="7" spans="1:16" ht="15" x14ac:dyDescent="0.2">
      <c r="A7" s="215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8"/>
      <c r="N7" s="218"/>
      <c r="O7" s="213"/>
      <c r="P7" s="214"/>
    </row>
    <row r="8" spans="1:16" ht="15" x14ac:dyDescent="0.2">
      <c r="A8" s="219">
        <f ca="1">IF(M17&lt;&gt;"",IF(ROUND((M17+N17/100)/24,1)&gt;0,ROUND((M17+N17/100)/24,1),""),"")</f>
        <v>0.3</v>
      </c>
      <c r="B8" s="213"/>
      <c r="C8" s="220"/>
      <c r="D8" s="221"/>
      <c r="E8" s="221"/>
      <c r="F8" s="221"/>
      <c r="G8" s="221"/>
      <c r="H8" s="221" t="s">
        <v>34</v>
      </c>
      <c r="I8" s="221"/>
      <c r="J8" s="221"/>
      <c r="K8" s="221"/>
      <c r="L8" s="222"/>
      <c r="M8" s="223">
        <f ca="1">IF(NeoBerInfB!$R$41&gt;0,IF(Var_Neo_InfB_TPN_DagKeuze&lt;&gt;2,TRUNC(NeoBerInfB!$C$41),0),"")</f>
        <v>3</v>
      </c>
      <c r="N8" s="224">
        <f ca="1">IF(NeoBerInfB!$R$41&gt;0,IF(_Neo_1700_TPN_DagKeuze&lt;&gt;2,(NeoBerInfB!$C$41-M8)*100,0),"")</f>
        <v>0</v>
      </c>
      <c r="O8" s="213"/>
      <c r="P8" s="214"/>
    </row>
    <row r="9" spans="1:16" ht="15" x14ac:dyDescent="0.2">
      <c r="A9" s="225"/>
      <c r="B9" s="213"/>
      <c r="C9" s="209"/>
      <c r="D9" s="216"/>
      <c r="E9" s="216"/>
      <c r="F9" s="216"/>
      <c r="G9" s="216"/>
      <c r="H9" s="216" t="s">
        <v>513</v>
      </c>
      <c r="I9" s="216"/>
      <c r="J9" s="216"/>
      <c r="K9" s="216"/>
      <c r="L9" s="210"/>
      <c r="M9" s="226">
        <f ca="1">IF(NeoBerInfB!$R$42&gt;0,IF(_Neo_1700_TPN_DagKeuze&lt;&gt;2,TRUNC(NeoBerInfB!$C$42),0),"")</f>
        <v>1</v>
      </c>
      <c r="N9" s="217">
        <f ca="1">IF(NeoBerInfB!$R$42&gt;0,IF(_Neo_1700_TPN_DagKeuze&lt;&gt;2,(NeoBerInfB!$C$42-M9)*100,0),"")</f>
        <v>0</v>
      </c>
      <c r="O9" s="213"/>
      <c r="P9" s="214"/>
    </row>
    <row r="10" spans="1:16" ht="15" x14ac:dyDescent="0.2">
      <c r="A10" s="225"/>
      <c r="B10" s="213"/>
      <c r="C10" s="220"/>
      <c r="D10" s="221"/>
      <c r="E10" s="221"/>
      <c r="F10" s="221"/>
      <c r="G10" s="221"/>
      <c r="H10" s="221" t="s">
        <v>419</v>
      </c>
      <c r="I10" s="221"/>
      <c r="J10" s="221"/>
      <c r="K10" s="221"/>
      <c r="L10" s="222"/>
      <c r="M10" s="223">
        <f ca="1">IF(NeoBerInfB!$R$43&gt;0,TRUNC(NeoBerInfB!$C$43),"")</f>
        <v>1</v>
      </c>
      <c r="N10" s="224">
        <f ca="1">IF(NeoBerInfB!$R$43&gt;0,IF(_Neo_1700_TPN_DagKeuze=1,NeoBerInfB!$C$43-M10,0),"")</f>
        <v>0</v>
      </c>
      <c r="O10" s="213"/>
      <c r="P10" s="214"/>
    </row>
    <row r="11" spans="1:16" ht="15" x14ac:dyDescent="0.2">
      <c r="A11" s="225"/>
      <c r="B11" s="213"/>
      <c r="C11" s="209"/>
      <c r="D11" s="216"/>
      <c r="E11" s="216"/>
      <c r="F11" s="216"/>
      <c r="G11" s="216"/>
      <c r="H11" s="216" t="s">
        <v>420</v>
      </c>
      <c r="I11" s="216"/>
      <c r="J11" s="216"/>
      <c r="K11" s="216"/>
      <c r="L11" s="210"/>
      <c r="M11" s="226">
        <f ca="1">IF(NeoBerInfB!$R$44&gt;0,TRUNC(NeoBerInfB!$C$44),"")</f>
        <v>1</v>
      </c>
      <c r="N11" s="217">
        <f ca="1">IF(NeoBerInfB!$R$44&gt;0,IF(_Neo_1700_TPN_DagKeuze=1,(NeoBerInfB!$C$44-M11)*100,0),"")</f>
        <v>0</v>
      </c>
      <c r="O11" s="213"/>
      <c r="P11" s="214"/>
    </row>
    <row r="12" spans="1:16" ht="15" x14ac:dyDescent="0.2">
      <c r="A12" s="225"/>
      <c r="B12" s="213"/>
      <c r="C12" s="220"/>
      <c r="D12" s="221"/>
      <c r="E12" s="221"/>
      <c r="F12" s="221"/>
      <c r="G12" s="221"/>
      <c r="H12" s="221" t="s">
        <v>194</v>
      </c>
      <c r="I12" s="221"/>
      <c r="J12" s="221"/>
      <c r="K12" s="221"/>
      <c r="L12" s="222"/>
      <c r="M12" s="223">
        <f ca="1">IF(NeoBerInfB!$R$45&gt;0,TRUNC(NeoBerInfB!$C$45),"")</f>
        <v>1</v>
      </c>
      <c r="N12" s="224">
        <f ca="1">IF(NeoBerInfB!$R$45&gt;0,IF(_Neo_1700_TPN_DagKeuze=1,(NeoBerInfB!$C$45-M12)*100,0),"")</f>
        <v>0</v>
      </c>
      <c r="O12" s="213"/>
      <c r="P12" s="214"/>
    </row>
    <row r="13" spans="1:16" ht="15" x14ac:dyDescent="0.2">
      <c r="A13" s="225"/>
      <c r="B13" s="213"/>
      <c r="C13" s="209"/>
      <c r="D13" s="216"/>
      <c r="E13" s="216"/>
      <c r="F13" s="216"/>
      <c r="G13" s="216"/>
      <c r="H13" s="216" t="s">
        <v>514</v>
      </c>
      <c r="I13" s="216"/>
      <c r="J13" s="216"/>
      <c r="K13" s="216"/>
      <c r="L13" s="210"/>
      <c r="M13" s="226">
        <f ca="1">IF(NeoBerInfB!$R$46&gt;0,TRUNC(NeoBerInfB!$C$46),"")</f>
        <v>1</v>
      </c>
      <c r="N13" s="217">
        <f ca="1">IF(NeoBerInfB!$R$46&gt;0,IF(_Neo_1700_TPN_DagKeuze&lt;&gt;1,(NeoBerInfB!$C$46-M13)*100,0),"")</f>
        <v>0</v>
      </c>
      <c r="O13" s="213"/>
      <c r="P13" s="214"/>
    </row>
    <row r="14" spans="1:16" ht="15" x14ac:dyDescent="0.2">
      <c r="A14" s="225"/>
      <c r="B14" s="213"/>
      <c r="C14" s="220"/>
      <c r="D14" s="221"/>
      <c r="E14" s="221"/>
      <c r="F14" s="221"/>
      <c r="G14" s="221"/>
      <c r="H14" s="221" t="s">
        <v>515</v>
      </c>
      <c r="I14" s="221"/>
      <c r="J14" s="221"/>
      <c r="K14" s="221"/>
      <c r="L14" s="222"/>
      <c r="M14" s="223" t="str">
        <f>IF(Var_Neo_InfB_TPN_DagKeuze=2,TRUNC(NeoBerInfB!$C$47),"")</f>
        <v/>
      </c>
      <c r="N14" s="224" t="str">
        <f>IF(Var_Neo_InfB_TPN_DagKeuze=2,(NeoBerInfB!$C$47-M14)*100,"")</f>
        <v/>
      </c>
      <c r="O14" s="213"/>
      <c r="P14" s="214"/>
    </row>
    <row r="15" spans="1:16" ht="15" x14ac:dyDescent="0.2">
      <c r="A15" s="225"/>
      <c r="B15" s="213"/>
      <c r="C15" s="209"/>
      <c r="D15" s="216"/>
      <c r="E15" s="216"/>
      <c r="F15" s="216"/>
      <c r="G15" s="216"/>
      <c r="H15" s="216" t="s">
        <v>326</v>
      </c>
      <c r="I15" s="216"/>
      <c r="J15" s="216"/>
      <c r="K15" s="216"/>
      <c r="L15" s="210"/>
      <c r="M15" s="226" t="str">
        <f>IF(Var_Neo_InfB_TPN_DagKeuze=3,TRUNC(NeoBerInfB!$C$48),"")</f>
        <v/>
      </c>
      <c r="N15" s="217" t="str">
        <f>IF(Var_Neo_InfB_TPN_DagKeuze=3,(NeoBerInfB!$C$48-M15)*100,"")</f>
        <v/>
      </c>
      <c r="O15" s="213"/>
      <c r="P15" s="214"/>
    </row>
    <row r="16" spans="1:16" ht="15" x14ac:dyDescent="0.2">
      <c r="A16" s="220"/>
      <c r="B16" s="222"/>
      <c r="C16" s="220"/>
      <c r="D16" s="221"/>
      <c r="E16" s="221"/>
      <c r="F16" s="221"/>
      <c r="G16" s="221"/>
      <c r="H16" s="221" t="str">
        <f>INDEX(Tbl_Neo_OplVlst,NeoBerInfB!D49+1,1)</f>
        <v>glucose 5%</v>
      </c>
      <c r="I16" s="221"/>
      <c r="J16" s="221"/>
      <c r="K16" s="221"/>
      <c r="L16" s="222"/>
      <c r="M16" s="223" t="str">
        <f ca="1">IF(NeoBerInfB!$R$49&gt;0,TRUNC(NeoBerInfB!$R$49),"")</f>
        <v/>
      </c>
      <c r="N16" s="224" t="str">
        <f ca="1">IF(NeoBerInfB!$R$49&gt;0,(NeoBerInfB!$R$49-M16)*100,"")</f>
        <v/>
      </c>
      <c r="O16" s="213"/>
      <c r="P16" s="214"/>
    </row>
    <row r="17" spans="1:16" ht="14.25" customHeight="1" x14ac:dyDescent="0.2">
      <c r="A17" s="211"/>
      <c r="B17" s="211"/>
      <c r="C17" s="213"/>
      <c r="D17" s="213"/>
      <c r="E17" s="213"/>
      <c r="F17" s="213"/>
      <c r="G17" s="213"/>
      <c r="H17" s="227" t="s">
        <v>111</v>
      </c>
      <c r="I17" s="227"/>
      <c r="J17" s="227"/>
      <c r="K17" s="216"/>
      <c r="L17" s="216"/>
      <c r="M17" s="226">
        <f ca="1">IF(SUM(M8:N16)&gt;0,TRUNC(SUM(M8:M16)+SUM(N8:N16)/100),"")</f>
        <v>8</v>
      </c>
      <c r="N17" s="217">
        <f ca="1">ROUND(IF(SUM(M8:N16)&gt;0,(SUM(M8:M16)+SUM(N8:N16)/100-M17)*100,""),0)</f>
        <v>0</v>
      </c>
      <c r="O17" s="213"/>
      <c r="P17" s="214"/>
    </row>
    <row r="18" spans="1:16" ht="14.25" customHeight="1" x14ac:dyDescent="0.2">
      <c r="A18" s="221"/>
      <c r="B18" s="221"/>
      <c r="C18" s="213"/>
      <c r="D18" s="213"/>
      <c r="E18" s="213"/>
      <c r="F18" s="213"/>
      <c r="G18" s="213"/>
      <c r="H18" s="213"/>
      <c r="I18" s="213"/>
      <c r="J18" s="228"/>
      <c r="K18" s="213"/>
      <c r="L18" s="213"/>
      <c r="M18" s="229"/>
      <c r="N18" s="230"/>
      <c r="O18" s="213"/>
      <c r="P18" s="214"/>
    </row>
    <row r="19" spans="1:16" ht="14.25" customHeight="1" x14ac:dyDescent="0.2">
      <c r="A19" s="209" t="s">
        <v>171</v>
      </c>
      <c r="B19" s="216"/>
      <c r="C19" s="210"/>
      <c r="D19" s="213"/>
      <c r="E19" s="213"/>
      <c r="F19" s="213"/>
      <c r="G19" s="213"/>
      <c r="H19" s="213"/>
      <c r="I19" s="213"/>
      <c r="J19" s="213"/>
      <c r="K19" s="213"/>
      <c r="L19" s="213"/>
      <c r="M19" s="231"/>
      <c r="N19" s="232"/>
      <c r="O19" s="213"/>
      <c r="P19" s="214"/>
    </row>
    <row r="20" spans="1:16" ht="14.25" customHeight="1" x14ac:dyDescent="0.2">
      <c r="A20" s="233">
        <f>IF(F20&lt;&gt;"",Var_Neo_InfB_Cont_Stand_10/10,"")</f>
        <v>0.2</v>
      </c>
      <c r="B20" s="234"/>
      <c r="C20" s="235"/>
      <c r="D20" s="209" t="str">
        <f>IF(F20&lt;&gt;"","Zijlijn 1","")</f>
        <v>Zijlijn 1</v>
      </c>
      <c r="E20" s="216"/>
      <c r="F20" s="216" t="str">
        <f>IF(NeoBerInfB!E32&gt;1,INDEX(Tbl_Neo_OplVlst,NeoBerInfB!E32,1),"")</f>
        <v>glucose 25%</v>
      </c>
      <c r="G20" s="216"/>
      <c r="H20" s="216"/>
      <c r="I20" s="216"/>
      <c r="J20" s="216"/>
      <c r="K20" s="216"/>
      <c r="L20" s="210"/>
      <c r="M20" s="226">
        <f>IF(F20&lt;&gt;"",TRUNC(A20*24),"")</f>
        <v>4</v>
      </c>
      <c r="N20" s="217">
        <f>IF(F20&lt;&gt;"",((A20*24)-M20)*100,"")</f>
        <v>80.000000000000071</v>
      </c>
      <c r="O20" s="213" t="str">
        <f>IF(Var_Neo_InfB_Cont_VochtExtra_12,"extra","")</f>
        <v/>
      </c>
      <c r="P20" s="214"/>
    </row>
    <row r="21" spans="1:16" ht="14.25" customHeight="1" x14ac:dyDescent="0.2">
      <c r="A21" s="233">
        <f>IF(F21&lt;&gt;"",Var_Neo_InfB_Cont_Stand_11/10,"")</f>
        <v>0.3</v>
      </c>
      <c r="B21" s="234"/>
      <c r="C21" s="235"/>
      <c r="D21" s="209" t="str">
        <f>IF(F21&lt;&gt;"","Zijlijn 2","")</f>
        <v>Zijlijn 2</v>
      </c>
      <c r="E21" s="216"/>
      <c r="F21" s="216" t="str">
        <f>IF(NeoBerInfB!E33&gt;1,INDEX(Tbl_Neo_OplVlst,NeoBerInfB!E33,1),"")</f>
        <v>glucose 35%</v>
      </c>
      <c r="G21" s="216"/>
      <c r="H21" s="216"/>
      <c r="I21" s="216"/>
      <c r="J21" s="216"/>
      <c r="K21" s="216"/>
      <c r="L21" s="210"/>
      <c r="M21" s="226">
        <f>IF(F21&lt;&gt;"",TRUNC(A21*24),"")</f>
        <v>7</v>
      </c>
      <c r="N21" s="217">
        <f>IF(F21&lt;&gt;"",((A21*24)-M21)*100,"")</f>
        <v>19.999999999999929</v>
      </c>
      <c r="O21" s="213" t="str">
        <f>IF(Var_Neo_InfB_Cont_VochtExtra_13,"extra","")</f>
        <v/>
      </c>
      <c r="P21" s="214"/>
    </row>
    <row r="22" spans="1:16" ht="14.25" customHeight="1" x14ac:dyDescent="0.2">
      <c r="A22" s="233">
        <f>IF(F22&lt;&gt;"",Var_Neo_InfB_Cont_Stand_12/10,"")</f>
        <v>0.2</v>
      </c>
      <c r="B22" s="234"/>
      <c r="C22" s="235"/>
      <c r="D22" s="209" t="str">
        <f>IF(F22&lt;&gt;"","Zijlijn 3","")</f>
        <v>Zijlijn 3</v>
      </c>
      <c r="E22" s="216"/>
      <c r="F22" s="216" t="str">
        <f>IF(NeoBerInfB!E34&gt;1,INDEX(Tbl_Neo_OplVlst,NeoBerInfB!E34,1),"")</f>
        <v>glucose 25%</v>
      </c>
      <c r="G22" s="216"/>
      <c r="H22" s="216"/>
      <c r="I22" s="216"/>
      <c r="J22" s="216"/>
      <c r="K22" s="216"/>
      <c r="L22" s="210"/>
      <c r="M22" s="226">
        <f>IF(F22&lt;&gt;"",TRUNC(A22*24),"")</f>
        <v>4</v>
      </c>
      <c r="N22" s="217">
        <f>IF(F22&lt;&gt;"",((A22*24)-M22)*100,"")</f>
        <v>80.000000000000071</v>
      </c>
      <c r="O22" s="213" t="str">
        <f>IF(Var_Neo_InfB_Cont_VochtExtra_14,"extra","")</f>
        <v/>
      </c>
      <c r="P22" s="214"/>
    </row>
    <row r="23" spans="1:16" ht="14.25" customHeight="1" x14ac:dyDescent="0.2">
      <c r="A23" s="233">
        <f ca="1">IF(D23&lt;&gt;"",ROUNDUP(NeoBerInfB!C39/24,1),"")</f>
        <v>0.1</v>
      </c>
      <c r="B23" s="234"/>
      <c r="C23" s="235"/>
      <c r="D23" s="209" t="str">
        <f ca="1">IF(NeoBerInfB!C39&lt;&gt;0,INDEX(tbl_Neo_IntralipidSmof,Var_Neo_InfB_TPN_IntralipidSmof),"")</f>
        <v>Intralipid 20% (incl vitintra)</v>
      </c>
      <c r="E23" s="216"/>
      <c r="F23" s="216"/>
      <c r="G23" s="216"/>
      <c r="H23" s="216"/>
      <c r="I23" s="216"/>
      <c r="J23" s="216"/>
      <c r="K23" s="216"/>
      <c r="L23" s="210"/>
      <c r="M23" s="226">
        <f ca="1">IF(D23&lt;&gt;"",TRUNC(NeoBerInfB!C39),"")</f>
        <v>1</v>
      </c>
      <c r="N23" s="217">
        <f ca="1">IF(D23&lt;&gt;"",(NeoBerInfB!C39-M23)*100,"")</f>
        <v>0</v>
      </c>
      <c r="O23" s="213"/>
      <c r="P23" s="214"/>
    </row>
    <row r="24" spans="1:16" ht="14.25" customHeight="1" x14ac:dyDescent="0.2">
      <c r="A24" s="216"/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3"/>
      <c r="M24" s="236"/>
      <c r="N24" s="237"/>
      <c r="O24" s="213"/>
      <c r="P24" s="214"/>
    </row>
    <row r="25" spans="1:16" ht="14.25" customHeight="1" x14ac:dyDescent="0.2">
      <c r="A25" s="209" t="s">
        <v>171</v>
      </c>
      <c r="B25" s="210"/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31"/>
      <c r="N25" s="232"/>
      <c r="O25" s="213"/>
      <c r="P25" s="214"/>
    </row>
    <row r="26" spans="1:16" ht="14.25" customHeight="1" x14ac:dyDescent="0.2">
      <c r="A26" s="233">
        <f>IF(NeoBerInfB!B23&gt;1,NeoBerInfB!F23/10,"")</f>
        <v>1</v>
      </c>
      <c r="B26" s="233"/>
      <c r="C26" s="238" t="str">
        <f>IF(A26&lt;&gt;"",IF(NeoBerInfB!B23&gt;1,INDEX(Tbl_Neo_MedIV,NeoBerInfB!B23,1),""),"")</f>
        <v>dopamine</v>
      </c>
      <c r="D26" s="211"/>
      <c r="E26" s="212">
        <f>IF(A26&lt;&gt;"",IF(NeoBerInfB!B23&gt;1,NeoBerInfB!C23/10,""),"")</f>
        <v>200</v>
      </c>
      <c r="F26" s="211" t="str">
        <f>IF(Var_Neo_InfB_Cont_MedKeuze_1&lt;&gt;5,"mg","ml")</f>
        <v>mg</v>
      </c>
      <c r="G26" s="239" t="s">
        <v>516</v>
      </c>
      <c r="H26" s="211">
        <f>IF(A26&lt;&gt;"",IF(NeoBerInfB!B23&gt;1,INDEX(Tbl_Neo_MedIV,NeoBerInfB!B23,4),""),"")</f>
        <v>40</v>
      </c>
      <c r="I26" s="211" t="str">
        <f>IF(A26&lt;&gt;"",IF(NeoBerInfB!B23&gt;1,INDEX(Tbl_Neo_MedIV,NeoBerInfB!B23,2)&amp;" = ",""),"")</f>
        <v xml:space="preserve">mg = </v>
      </c>
      <c r="J26" s="211">
        <f>IF(A26&lt;&gt;"",IF(NeoBerInfB!B23&gt;1,INDEX(Tbl_Neo_MedIV,NeoBerInfB!B23,5),""),"")</f>
        <v>1</v>
      </c>
      <c r="K26" s="211" t="s">
        <v>518</v>
      </c>
      <c r="L26" s="211"/>
      <c r="M26" s="240">
        <f>IF(A26&lt;&gt;"",TRUNC((J26/H26)*E26),"")</f>
        <v>5</v>
      </c>
      <c r="N26" s="241">
        <f>IF(A26&lt;&gt;"",(ROUND((J26/H26)*E26,2)-M26)*100,"")</f>
        <v>0</v>
      </c>
      <c r="O26" s="213" t="str">
        <f>IF(C26&lt;&gt;"",IF(Var_Neo_InfB_Cont_VochtExtra_02,"extra",""),"")</f>
        <v/>
      </c>
      <c r="P26" s="214"/>
    </row>
    <row r="27" spans="1:16" ht="14.25" customHeight="1" x14ac:dyDescent="0.2">
      <c r="A27" s="233"/>
      <c r="B27" s="233"/>
      <c r="C27" s="225"/>
      <c r="D27" s="213"/>
      <c r="E27" s="213"/>
      <c r="F27" s="213"/>
      <c r="G27" s="242"/>
      <c r="H27" s="213"/>
      <c r="I27" s="213" t="s">
        <v>519</v>
      </c>
      <c r="J27" s="213" t="str">
        <f>IF(A26&lt;&gt;"",IF(A26&gt;0,NeoBerInfB!M23,""),"")</f>
        <v>glucose 10%</v>
      </c>
      <c r="K27" s="213"/>
      <c r="L27" s="213"/>
      <c r="M27" s="243">
        <f>IF(A26&lt;&gt;"",TRUNC(M28+N28/100-M26-N26/100),"")</f>
        <v>45</v>
      </c>
      <c r="N27" s="244">
        <f>IF(A26&lt;&gt;"",(M28+N28/100-M26-N26/100-M27)*100,"")</f>
        <v>0</v>
      </c>
      <c r="O27" s="213"/>
      <c r="P27" s="214"/>
    </row>
    <row r="28" spans="1:16" ht="14.25" customHeight="1" x14ac:dyDescent="0.2">
      <c r="A28" s="233"/>
      <c r="B28" s="233"/>
      <c r="C28" s="220" t="str">
        <f>IF(A26&lt;&gt;"",NeoPrtAfspr!K33,"")</f>
        <v>1 ml/uur</v>
      </c>
      <c r="D28" s="221"/>
      <c r="E28" s="221" t="str">
        <f>IF(A26&lt;&gt;"",CONCATENATE(" = ",NeoBerInfB!G23," ",NeoBerInfB!O23),"")</f>
        <v xml:space="preserve"> = 0 microg/kg/min</v>
      </c>
      <c r="F28" s="221"/>
      <c r="G28" s="245"/>
      <c r="H28" s="221"/>
      <c r="I28" s="221"/>
      <c r="J28" s="246" t="s">
        <v>111</v>
      </c>
      <c r="K28" s="221"/>
      <c r="L28" s="221"/>
      <c r="M28" s="226">
        <f>IF(A26&lt;&gt;"",TRUNC(Var_Neo_InfB_Cont_OplHoev_1),"")</f>
        <v>50</v>
      </c>
      <c r="N28" s="217">
        <f>IF(A26&lt;&gt;"",(Var_Neo_InfB_Cont_OplHoev_1-M28)*100,"")</f>
        <v>0</v>
      </c>
      <c r="O28" s="213"/>
      <c r="P28" s="214"/>
    </row>
    <row r="29" spans="1:16" ht="14.25" customHeight="1" x14ac:dyDescent="0.2">
      <c r="A29" s="233" t="str">
        <f>IF(NeoBerInfB!B24&gt;1,NeoBerInfB!F24/10,"")</f>
        <v/>
      </c>
      <c r="B29" s="233"/>
      <c r="C29" s="238" t="str">
        <f>IF(A29&lt;&gt;"",IF(NeoBerInfB!B24&gt;1,INDEX(Tbl_Neo_MedIV,NeoBerInfB!B24,1),""),"")</f>
        <v/>
      </c>
      <c r="D29" s="211"/>
      <c r="E29" s="212" t="str">
        <f>IF(A29&lt;&gt;"",IF(NeoBerInfB!B24&gt;1,NeoBerInfB!C24/10,""),"")</f>
        <v/>
      </c>
      <c r="F29" s="211" t="str">
        <f>IF(Var_Neo_InfB_Cont_MedKeuze_2&lt;&gt;5,"mg","ml")</f>
        <v>mg</v>
      </c>
      <c r="G29" s="239" t="s">
        <v>516</v>
      </c>
      <c r="H29" s="211" t="str">
        <f>IF(A29&lt;&gt;"",IF(NeoBerInfB!B24&gt;1,INDEX(Tbl_Neo_MedIV,NeoBerInfB!B24,3),""),"")</f>
        <v/>
      </c>
      <c r="I29" s="211" t="s">
        <v>517</v>
      </c>
      <c r="J29" s="211" t="str">
        <f>IF(A29&lt;&gt;"",IF(NeoBerInfB!B24&gt;1,INDEX(Tbl_Neo_MedIV,NeoBerInfB!B24,4),""),"")</f>
        <v/>
      </c>
      <c r="K29" s="211" t="s">
        <v>518</v>
      </c>
      <c r="L29" s="211"/>
      <c r="M29" s="243" t="str">
        <f>IF(A29&lt;&gt;"",TRUNC((J29/H29)*E29),"")</f>
        <v/>
      </c>
      <c r="N29" s="244" t="str">
        <f>IF(A29&lt;&gt;"",(IF(A29&gt;0,ROUND((J29/H29)*E29,2),0)-M29)*100,"")</f>
        <v/>
      </c>
      <c r="O29" s="213" t="str">
        <f>IF(C29&lt;&gt;"",IF(Var_Neo_InfB_Cont_VochtExtra_03,"extra",""),"")</f>
        <v/>
      </c>
      <c r="P29" s="214"/>
    </row>
    <row r="30" spans="1:16" ht="14.25" customHeight="1" x14ac:dyDescent="0.2">
      <c r="A30" s="233"/>
      <c r="B30" s="233"/>
      <c r="C30" s="225"/>
      <c r="D30" s="213"/>
      <c r="E30" s="213"/>
      <c r="F30" s="213"/>
      <c r="G30" s="242"/>
      <c r="H30" s="213"/>
      <c r="I30" s="213" t="s">
        <v>519</v>
      </c>
      <c r="J30" s="213" t="str">
        <f>IF(A29&lt;&gt;"",IF(A29&gt;0,NeoPrtAfspr!I34,""),"")</f>
        <v/>
      </c>
      <c r="K30" s="213"/>
      <c r="L30" s="213"/>
      <c r="M30" s="243" t="str">
        <f>IF(A29&lt;&gt;"",TRUNC(IF(A29&gt;0,M31+N31/100-M29-N29/100,0)),"")</f>
        <v/>
      </c>
      <c r="N30" s="244" t="str">
        <f>IF(A29&lt;&gt;"",(IF(A29&gt;0,M31+N31/100-M29-N29/100,0)-M30)*100,"")</f>
        <v/>
      </c>
      <c r="O30" s="213"/>
      <c r="P30" s="214"/>
    </row>
    <row r="31" spans="1:16" ht="14.25" customHeight="1" x14ac:dyDescent="0.2">
      <c r="A31" s="233"/>
      <c r="B31" s="233"/>
      <c r="C31" s="220" t="str">
        <f>IF(A29&lt;&gt;"",NeoPrtAfspr!K34,"")</f>
        <v/>
      </c>
      <c r="D31" s="221"/>
      <c r="E31" s="221" t="str">
        <f>IF(A29&lt;&gt;"",NeoPrtAfspr!M34&amp;" "&amp;NeoPrtAfspr!N34,"")</f>
        <v/>
      </c>
      <c r="F31" s="221"/>
      <c r="G31" s="245"/>
      <c r="H31" s="221"/>
      <c r="I31" s="221"/>
      <c r="J31" s="246" t="s">
        <v>111</v>
      </c>
      <c r="K31" s="221"/>
      <c r="L31" s="221"/>
      <c r="M31" s="226" t="str">
        <f>IF(A29&lt;&gt;"",TRUNC(Var_Neo_InfB_Cont_OplHoev_2),"")</f>
        <v/>
      </c>
      <c r="N31" s="217" t="str">
        <f>IF(A29&lt;&gt;"",(Var_Neo_InfB_Cont_OplHoev_2-M31)*100,"")</f>
        <v/>
      </c>
      <c r="O31" s="213"/>
      <c r="P31" s="214"/>
    </row>
    <row r="32" spans="1:16" ht="14.25" customHeight="1" x14ac:dyDescent="0.2">
      <c r="A32" s="233" t="str">
        <f>IF(NeoBerInfB!B25&gt;1,NeoBerInfB!F25/10,"")</f>
        <v/>
      </c>
      <c r="B32" s="233"/>
      <c r="C32" s="238" t="str">
        <f>IF(A32&lt;&gt;"",IF(NeoBerInfB!B25&gt;1,INDEX(Tbl_Neo_MedIV,NeoBerInfB!B25,1),""),"")</f>
        <v/>
      </c>
      <c r="D32" s="211"/>
      <c r="E32" s="212" t="str">
        <f>IF(A32&lt;&gt;"",IF(NeoBerInfB!B25&gt;1,NeoBerInfB!C25/10,""),"")</f>
        <v/>
      </c>
      <c r="F32" s="211" t="str">
        <f>IF(Var_Neo_InfB_Cont_MedKeuze_3&lt;&gt;5,"mg","ml")</f>
        <v>mg</v>
      </c>
      <c r="G32" s="239" t="s">
        <v>516</v>
      </c>
      <c r="H32" s="211" t="str">
        <f>IF(A32&lt;&gt;"",IF(NeoBerInfB!B25&gt;1,INDEX(Tbl_Neo_MedIV,NeoBerInfB!B25,3),""),"")</f>
        <v/>
      </c>
      <c r="I32" s="211" t="s">
        <v>517</v>
      </c>
      <c r="J32" s="211" t="str">
        <f>IF(A32&lt;&gt;"",IF(NeoBerInfB!B25&gt;1,INDEX(Tbl_Neo_MedIV,NeoBerInfB!B25,4),""),"")</f>
        <v/>
      </c>
      <c r="K32" s="211" t="s">
        <v>518</v>
      </c>
      <c r="L32" s="211"/>
      <c r="M32" s="240" t="str">
        <f>IF(A32&lt;&gt;"",TRUNC((J32/H32)*E32),"")</f>
        <v/>
      </c>
      <c r="N32" s="241" t="str">
        <f>IF(A32&lt;&gt;"",(IF(A32&gt;0,ROUND((J32/H32)*E32,2),0)-M32)*100,"")</f>
        <v/>
      </c>
      <c r="O32" s="213" t="str">
        <f>IF(C32&lt;&gt;"",IF(Var_Neo_InfB_Cont_VochtExtra_04,"extra",""),"")</f>
        <v/>
      </c>
      <c r="P32" s="214"/>
    </row>
    <row r="33" spans="1:16" ht="15" x14ac:dyDescent="0.2">
      <c r="A33" s="233"/>
      <c r="B33" s="233"/>
      <c r="C33" s="225"/>
      <c r="D33" s="213"/>
      <c r="E33" s="213"/>
      <c r="F33" s="213"/>
      <c r="G33" s="242"/>
      <c r="H33" s="213"/>
      <c r="I33" s="213" t="s">
        <v>519</v>
      </c>
      <c r="J33" s="213" t="str">
        <f>IF(A32&lt;&gt;"",IF(A32&gt;0,NeoPrtAfspr!I35,""),"")</f>
        <v/>
      </c>
      <c r="K33" s="213"/>
      <c r="L33" s="213"/>
      <c r="M33" s="243" t="str">
        <f>IF(A32&lt;&gt;"",TRUNC(IF(A32&gt;0,M34+N34/100-M32-N32/100,0)),"")</f>
        <v/>
      </c>
      <c r="N33" s="244" t="str">
        <f>IF(A32&lt;&gt;"",(IF(A32&gt;0,M34+N34/100-M32-N32/100,0)-M33)*100,"")</f>
        <v/>
      </c>
      <c r="O33" s="213"/>
      <c r="P33" s="214"/>
    </row>
    <row r="34" spans="1:16" ht="15" x14ac:dyDescent="0.2">
      <c r="A34" s="233"/>
      <c r="B34" s="233"/>
      <c r="C34" s="220" t="str">
        <f>IF(A32&lt;&gt;"",NeoPrtAfspr!K35,"")</f>
        <v/>
      </c>
      <c r="D34" s="221"/>
      <c r="E34" s="221" t="str">
        <f>IF(A32&lt;&gt;"",NeoPrtAfspr!M35&amp;" "&amp;NeoPrtAfspr!N35,"")</f>
        <v/>
      </c>
      <c r="F34" s="221"/>
      <c r="G34" s="245"/>
      <c r="H34" s="221"/>
      <c r="I34" s="221"/>
      <c r="J34" s="246" t="s">
        <v>111</v>
      </c>
      <c r="K34" s="221"/>
      <c r="L34" s="221"/>
      <c r="M34" s="226" t="str">
        <f>IF(A32&lt;&gt;"",TRUNC(Var_Neo_InfB_Cont_OplHoev_3),"")</f>
        <v/>
      </c>
      <c r="N34" s="217" t="str">
        <f>IF(A32&lt;&gt;"",(Var_Neo_InfB_Cont_OplHoev_3-M34)*100,"")</f>
        <v/>
      </c>
      <c r="O34" s="213"/>
      <c r="P34" s="214"/>
    </row>
    <row r="35" spans="1:16" ht="15" x14ac:dyDescent="0.2">
      <c r="A35" s="233" t="str">
        <f>IF(NeoBerInfB!B26&gt;1,NeoBerInfB!F26/10,"")</f>
        <v/>
      </c>
      <c r="B35" s="233"/>
      <c r="C35" s="238" t="str">
        <f>IF(A35&lt;&gt;"",IF(NeoBerInfB!B26&gt;1,INDEX(Tbl_Neo_MedIV,NeoBerInfB!B26,1),""),"")</f>
        <v/>
      </c>
      <c r="D35" s="211"/>
      <c r="E35" s="212" t="str">
        <f>IF(A35&lt;&gt;"",IF(NeoBerInfB!B26&gt;1,NeoBerInfB!C26/10,""),"")</f>
        <v/>
      </c>
      <c r="F35" s="211" t="str">
        <f>IF(Var_Neo_InfB_Cont_MedKeuze_4&lt;&gt;5,"mg","ml")</f>
        <v>mg</v>
      </c>
      <c r="G35" s="239" t="s">
        <v>516</v>
      </c>
      <c r="H35" s="211" t="str">
        <f>IF(A35&lt;&gt;"",IF(NeoBerInfB!B26&gt;1,INDEX(Tbl_Neo_MedIV,NeoBerInfB!B26,3),""),"")</f>
        <v/>
      </c>
      <c r="I35" s="211" t="s">
        <v>517</v>
      </c>
      <c r="J35" s="211" t="str">
        <f>IF(A35&lt;&gt;"",IF(NeoBerInfB!B26&gt;1,INDEX(Tbl_Neo_MedIV,NeoBerInfB!B26,4),""),"")</f>
        <v/>
      </c>
      <c r="K35" s="211" t="s">
        <v>518</v>
      </c>
      <c r="L35" s="211"/>
      <c r="M35" s="243" t="str">
        <f>IF(A35&lt;&gt;"",TRUNC((J35/H35)*E35),"")</f>
        <v/>
      </c>
      <c r="N35" s="244" t="str">
        <f>IF(A35&lt;&gt;"",(IF(A35&gt;0,ROUND((J35/H35)*E35,2),0)-M35)*100,"")</f>
        <v/>
      </c>
      <c r="O35" s="213" t="str">
        <f>IF(C35&lt;&gt;"",IF(Var_Neo_InfB_Cont_VochtExtra_05,"extra",""),"")</f>
        <v/>
      </c>
      <c r="P35" s="214"/>
    </row>
    <row r="36" spans="1:16" ht="15" x14ac:dyDescent="0.2">
      <c r="A36" s="233"/>
      <c r="B36" s="233"/>
      <c r="C36" s="225"/>
      <c r="D36" s="213"/>
      <c r="E36" s="213"/>
      <c r="F36" s="213"/>
      <c r="G36" s="242"/>
      <c r="H36" s="213"/>
      <c r="I36" s="213" t="s">
        <v>519</v>
      </c>
      <c r="J36" s="213" t="str">
        <f>IF(A35&lt;&gt;"",IF(A35&gt;0,NeoPrtAfspr!I36,""),"")</f>
        <v/>
      </c>
      <c r="K36" s="213"/>
      <c r="L36" s="213"/>
      <c r="M36" s="243" t="str">
        <f>IF(A35&lt;&gt;"",TRUNC(IF(A35&gt;0,M37+N37/100-M35-N35/100,0)),"")</f>
        <v/>
      </c>
      <c r="N36" s="244" t="str">
        <f>IF(A35&lt;&gt;"",(IF(A35&gt;0,M37+N37/100-M35-N35/100,0)-M36)*100,"")</f>
        <v/>
      </c>
      <c r="O36" s="213"/>
      <c r="P36" s="214"/>
    </row>
    <row r="37" spans="1:16" ht="15" x14ac:dyDescent="0.2">
      <c r="A37" s="233"/>
      <c r="B37" s="233"/>
      <c r="C37" s="220" t="str">
        <f>IF(A35&lt;&gt;"",NeoPrtAfspr!K36,"")</f>
        <v/>
      </c>
      <c r="D37" s="221"/>
      <c r="E37" s="221" t="str">
        <f>IF(A35&lt;&gt;"",NeoPrtAfspr!M36&amp;" "&amp;NeoPrtAfspr!N36,"")</f>
        <v/>
      </c>
      <c r="F37" s="221"/>
      <c r="G37" s="245"/>
      <c r="H37" s="221"/>
      <c r="I37" s="221"/>
      <c r="J37" s="246" t="s">
        <v>111</v>
      </c>
      <c r="K37" s="221"/>
      <c r="L37" s="221"/>
      <c r="M37" s="226" t="str">
        <f>IF(A35&lt;&gt;"",TRUNC(Var_Neo_InfB_Cont_OplHoev_4),"")</f>
        <v/>
      </c>
      <c r="N37" s="217" t="str">
        <f>IF(A35&lt;&gt;"",(Var_Neo_InfB_Cont_OplHoev_4-M37)*100,"")</f>
        <v/>
      </c>
      <c r="O37" s="213"/>
      <c r="P37" s="214"/>
    </row>
    <row r="38" spans="1:16" ht="15" x14ac:dyDescent="0.2">
      <c r="A38" s="233" t="str">
        <f>IF(NeoBerInfB!B27&gt;1,NeoBerInfB!F27/10,"")</f>
        <v/>
      </c>
      <c r="B38" s="233"/>
      <c r="C38" s="238" t="str">
        <f>IF(A38&lt;&gt;"",IF(NeoBerInfB!B27&gt;1,INDEX(Tbl_Neo_MedIV,NeoBerInfB!B27,1),""),"")</f>
        <v/>
      </c>
      <c r="D38" s="211"/>
      <c r="E38" s="212" t="str">
        <f>IF(A38&lt;&gt;"",IF(NeoBerInfB!B27&gt;1,NeoBerInfB!C27/10,""),"")</f>
        <v/>
      </c>
      <c r="F38" s="211" t="str">
        <f>IF(Var_Neo_InfB_Cont_MedKeuze_5&lt;&gt;5,"mg","ml")</f>
        <v>mg</v>
      </c>
      <c r="G38" s="239" t="s">
        <v>516</v>
      </c>
      <c r="H38" s="211" t="str">
        <f>IF(A38&lt;&gt;"",IF(NeoBerInfB!B27&gt;1,INDEX(Tbl_Neo_MedIV,NeoBerInfB!B27,3),""),"")</f>
        <v/>
      </c>
      <c r="I38" s="211" t="s">
        <v>517</v>
      </c>
      <c r="J38" s="211" t="str">
        <f>IF(A38&lt;&gt;"",IF(NeoBerInfB!B27&gt;1,INDEX(Tbl_Neo_MedIV,NeoBerInfB!B27,4),""),"")</f>
        <v/>
      </c>
      <c r="K38" s="211" t="s">
        <v>518</v>
      </c>
      <c r="L38" s="211"/>
      <c r="M38" s="240" t="str">
        <f>IF(A38&lt;&gt;"",TRUNC((J38/H38)*E38),"")</f>
        <v/>
      </c>
      <c r="N38" s="241" t="str">
        <f>IF(A38&lt;&gt;"",(IF(A38&gt;0,ROUND((J38/H38)*E38,2),0)-M38)*100,"")</f>
        <v/>
      </c>
      <c r="O38" s="213" t="str">
        <f>IF(C38&lt;&gt;"",IF(Var_Neo_InfB_Cont_VochtExtra_06,"extra",""),"")</f>
        <v/>
      </c>
      <c r="P38" s="214"/>
    </row>
    <row r="39" spans="1:16" ht="15" x14ac:dyDescent="0.2">
      <c r="A39" s="233"/>
      <c r="B39" s="233"/>
      <c r="C39" s="225"/>
      <c r="D39" s="213"/>
      <c r="E39" s="213"/>
      <c r="F39" s="213"/>
      <c r="G39" s="242"/>
      <c r="H39" s="213"/>
      <c r="I39" s="213" t="s">
        <v>519</v>
      </c>
      <c r="J39" s="213" t="str">
        <f>IF(A38&lt;&gt;"",IF(A38&gt;0,NeoPrtAfspr!I37,""),"")</f>
        <v/>
      </c>
      <c r="K39" s="213"/>
      <c r="L39" s="213"/>
      <c r="M39" s="243" t="str">
        <f>IF(A38&lt;&gt;"",TRUNC(IF(A38&gt;0,M40+N40/100-M38-N38/100,0)),"")</f>
        <v/>
      </c>
      <c r="N39" s="244" t="str">
        <f>IF(A38&lt;&gt;"",(IF(A38&gt;0,M40+N40/100-M38-N38/100,0)-M39)*100,"")</f>
        <v/>
      </c>
      <c r="O39" s="213"/>
      <c r="P39" s="214"/>
    </row>
    <row r="40" spans="1:16" ht="15" x14ac:dyDescent="0.2">
      <c r="A40" s="233"/>
      <c r="B40" s="233"/>
      <c r="C40" s="220" t="str">
        <f>IF(A38&lt;&gt;"",NeoPrtAfspr!K37,"")</f>
        <v/>
      </c>
      <c r="D40" s="221"/>
      <c r="E40" s="221" t="str">
        <f>IF(A38&lt;&gt;"",NeoPrtAfspr!M37&amp;" "&amp;NeoPrtAfspr!N37,"")</f>
        <v/>
      </c>
      <c r="F40" s="221"/>
      <c r="G40" s="245"/>
      <c r="H40" s="221"/>
      <c r="I40" s="221"/>
      <c r="J40" s="246" t="s">
        <v>111</v>
      </c>
      <c r="K40" s="221"/>
      <c r="L40" s="221"/>
      <c r="M40" s="226" t="str">
        <f>IF(A38&lt;&gt;"",TRUNC(Var_Neo_InfB_Cont_OplHoev_5),"")</f>
        <v/>
      </c>
      <c r="N40" s="217" t="str">
        <f>IF(A38&lt;&gt;"",(Var_Neo_InfB_Cont_OplHoev_5-M40)*100,"")</f>
        <v/>
      </c>
      <c r="O40" s="213"/>
      <c r="P40" s="214"/>
    </row>
    <row r="41" spans="1:16" ht="15" x14ac:dyDescent="0.2">
      <c r="A41" s="233" t="str">
        <f>IF(NeoBerInfB!B28&gt;1,NeoBerInfB!F28/10,"")</f>
        <v/>
      </c>
      <c r="B41" s="233"/>
      <c r="C41" s="238" t="str">
        <f>IF(A41&lt;&gt;"",IF(NeoBerInfB!B28&gt;1,INDEX(Tbl_Neo_MedIV,NeoBerInfB!B28,1),""),"")</f>
        <v/>
      </c>
      <c r="D41" s="211"/>
      <c r="E41" s="212" t="str">
        <f>IF(A41&lt;&gt;"",IF(NeoBerInfB!B28&gt;1,NeoBerInfB!C28/10,""),"")</f>
        <v/>
      </c>
      <c r="F41" s="211" t="str">
        <f>IF(Var_Neo_InfB_Cont_MedKeuze_6&lt;&gt;5,"mg","ml")</f>
        <v>mg</v>
      </c>
      <c r="G41" s="239" t="s">
        <v>516</v>
      </c>
      <c r="H41" s="211" t="str">
        <f>IF(A41&lt;&gt;"",IF(NeoBerInfB!B28&gt;1,INDEX(Tbl_Neo_MedIV,NeoBerInfB!B28,3),""),"")</f>
        <v/>
      </c>
      <c r="I41" s="211" t="s">
        <v>517</v>
      </c>
      <c r="J41" s="211" t="str">
        <f>IF(A41&lt;&gt;"",IF(NeoBerInfB!B28&gt;1,INDEX(Tbl_Neo_MedIV,NeoBerInfB!B28,4),""),"")</f>
        <v/>
      </c>
      <c r="K41" s="211" t="s">
        <v>518</v>
      </c>
      <c r="L41" s="211"/>
      <c r="M41" s="243" t="str">
        <f>IF(A41&lt;&gt;"",TRUNC((J41/H41)*E41),"")</f>
        <v/>
      </c>
      <c r="N41" s="244" t="str">
        <f>IF(A41&lt;&gt;"",(IF(A41&gt;0,ROUND((J41/H41)*E41,2),0)-M41)*100,"")</f>
        <v/>
      </c>
      <c r="O41" s="213" t="str">
        <f>IF(C41&lt;&gt;"",IF(Var_Neo_InfB_Cont_VochtExtra_07,"extra",""),"")</f>
        <v/>
      </c>
      <c r="P41" s="214"/>
    </row>
    <row r="42" spans="1:16" ht="15" x14ac:dyDescent="0.2">
      <c r="A42" s="233"/>
      <c r="B42" s="233"/>
      <c r="C42" s="225"/>
      <c r="D42" s="213"/>
      <c r="E42" s="213"/>
      <c r="F42" s="213"/>
      <c r="G42" s="242"/>
      <c r="H42" s="213"/>
      <c r="I42" s="213" t="s">
        <v>519</v>
      </c>
      <c r="J42" s="213" t="str">
        <f>IF(A41&lt;&gt;"",IF(A41&gt;0,NeoPrtAfspr!I38,""),"")</f>
        <v/>
      </c>
      <c r="K42" s="213"/>
      <c r="L42" s="213"/>
      <c r="M42" s="243" t="str">
        <f>IF(A41&lt;&gt;"",TRUNC(IF(A41&gt;0,M43+N43/100-M41-N41/100,0)),"")</f>
        <v/>
      </c>
      <c r="N42" s="244" t="str">
        <f>IF(A41&lt;&gt;"",(IF(A41&gt;0,M43+N43/100-M41-N41/100,0)-M42)*100,"")</f>
        <v/>
      </c>
      <c r="O42" s="213"/>
      <c r="P42" s="214"/>
    </row>
    <row r="43" spans="1:16" ht="15" x14ac:dyDescent="0.2">
      <c r="A43" s="233"/>
      <c r="B43" s="233"/>
      <c r="C43" s="220" t="str">
        <f>IF(A41&lt;&gt;"",NeoPrtAfspr!K38,"")</f>
        <v/>
      </c>
      <c r="D43" s="221"/>
      <c r="E43" s="221" t="str">
        <f>IF(A41&lt;&gt;"",NeoPrtAfspr!M38&amp;" "&amp;NeoPrtAfspr!N38,"")</f>
        <v/>
      </c>
      <c r="F43" s="221"/>
      <c r="G43" s="245"/>
      <c r="H43" s="221"/>
      <c r="I43" s="221"/>
      <c r="J43" s="246" t="s">
        <v>111</v>
      </c>
      <c r="K43" s="221"/>
      <c r="L43" s="221"/>
      <c r="M43" s="226" t="str">
        <f>IF(A41&lt;&gt;"",TRUNC(Var_Neo_InfB_Cont_OplHoev_6),"")</f>
        <v/>
      </c>
      <c r="N43" s="217" t="str">
        <f>IF(A41&lt;&gt;"",(Var_Neo_InfB_Cont_OplHoev_6-M43)*100,"")</f>
        <v/>
      </c>
      <c r="O43" s="213"/>
      <c r="P43" s="214"/>
    </row>
    <row r="44" spans="1:16" ht="15" x14ac:dyDescent="0.2">
      <c r="A44" s="233" t="str">
        <f>IF(NeoBerInfB!B29&gt;1,NeoBerInfB!F29/10,"")</f>
        <v/>
      </c>
      <c r="B44" s="233"/>
      <c r="C44" s="238" t="str">
        <f>IF(A44&lt;&gt;"",IF(NeoBerInfB!B29&gt;1,INDEX(Tbl_Neo_MedIV,NeoBerInfB!B29,1),""),"")</f>
        <v/>
      </c>
      <c r="D44" s="211"/>
      <c r="E44" s="212" t="str">
        <f>IF(A44&lt;&gt;"",IF(NeoBerInfB!B29&gt;1,NeoBerInfB!C29/10,""),"")</f>
        <v/>
      </c>
      <c r="F44" s="211" t="str">
        <f>IF(Var_Neo_InfB_Cont_MedKeuze_7&lt;&gt;5,"mg","ml")</f>
        <v>mg</v>
      </c>
      <c r="G44" s="239" t="s">
        <v>516</v>
      </c>
      <c r="H44" s="211" t="str">
        <f>IF(A44&lt;&gt;"",IF(NeoBerInfB!B29&gt;1,INDEX(Tbl_Neo_MedIV,NeoBerInfB!B29,3),""),"")</f>
        <v/>
      </c>
      <c r="I44" s="211" t="s">
        <v>517</v>
      </c>
      <c r="J44" s="211" t="str">
        <f>IF(A44&lt;&gt;"",IF(NeoBerInfB!B29&gt;1,INDEX(Tbl_Neo_MedIV,NeoBerInfB!B29,4),""),"")</f>
        <v/>
      </c>
      <c r="K44" s="211" t="s">
        <v>518</v>
      </c>
      <c r="L44" s="211"/>
      <c r="M44" s="240" t="str">
        <f>IF(A44&lt;&gt;"",TRUNC((J44/H44)*E44),"")</f>
        <v/>
      </c>
      <c r="N44" s="241" t="str">
        <f>IF(A44&lt;&gt;"",(IF(A44&gt;0,ROUND((J44/H44)*E44,2),0)-M44)*100,"")</f>
        <v/>
      </c>
      <c r="O44" s="213" t="str">
        <f>IF(C44&lt;&gt;"",IF(Var_Neo_InfB_Cont_VochtExtra_08,"extra",""),"")</f>
        <v/>
      </c>
      <c r="P44" s="214"/>
    </row>
    <row r="45" spans="1:16" ht="15" x14ac:dyDescent="0.2">
      <c r="A45" s="233"/>
      <c r="B45" s="233"/>
      <c r="C45" s="225"/>
      <c r="D45" s="213"/>
      <c r="E45" s="213"/>
      <c r="F45" s="213"/>
      <c r="G45" s="242"/>
      <c r="H45" s="213"/>
      <c r="I45" s="213" t="s">
        <v>519</v>
      </c>
      <c r="J45" s="213" t="str">
        <f>IF(A44&lt;&gt;"",IF(A44&gt;0,NeoPrtAfspr!I39,""),"")</f>
        <v/>
      </c>
      <c r="K45" s="213"/>
      <c r="L45" s="213"/>
      <c r="M45" s="243" t="str">
        <f>IF(A44&lt;&gt;"",TRUNC(IF(A44&gt;0,M46+N46/100-M44-N44/100,0)),"")</f>
        <v/>
      </c>
      <c r="N45" s="244" t="str">
        <f>IF(A44&lt;&gt;"",(IF(A44&gt;0,M46+N46/100-M44-N44/100,0)-M45)*100,"")</f>
        <v/>
      </c>
      <c r="O45" s="213"/>
      <c r="P45" s="214"/>
    </row>
    <row r="46" spans="1:16" ht="15" x14ac:dyDescent="0.2">
      <c r="A46" s="233"/>
      <c r="B46" s="233"/>
      <c r="C46" s="220" t="str">
        <f>IF(A44&lt;&gt;"",NeoPrtAfspr!K39,"")</f>
        <v/>
      </c>
      <c r="D46" s="221"/>
      <c r="E46" s="221" t="str">
        <f>IF(A44&lt;&gt;"",NeoPrtAfspr!M39&amp;" "&amp;NeoPrtAfspr!N39,"")</f>
        <v/>
      </c>
      <c r="F46" s="221"/>
      <c r="G46" s="245"/>
      <c r="H46" s="221"/>
      <c r="I46" s="221"/>
      <c r="J46" s="246" t="s">
        <v>111</v>
      </c>
      <c r="K46" s="221"/>
      <c r="L46" s="221"/>
      <c r="M46" s="226" t="str">
        <f>IF(A44&lt;&gt;"",TRUNC(Var_Neo_InfB_Cont_OplHoev_7),"")</f>
        <v/>
      </c>
      <c r="N46" s="217" t="str">
        <f>IF(A44&lt;&gt;"",(Var_Neo_InfB_Cont_OplHoev_7-M46)*100,"")</f>
        <v/>
      </c>
      <c r="O46" s="213"/>
      <c r="P46" s="214"/>
    </row>
    <row r="47" spans="1:16" ht="15" x14ac:dyDescent="0.2">
      <c r="A47" s="233" t="str">
        <f>IF(NeoBerInfB!B30&gt;1,NeoBerInfB!F30/10,"")</f>
        <v/>
      </c>
      <c r="B47" s="233"/>
      <c r="C47" s="238" t="str">
        <f>IF(A47&lt;&gt;"",IF(NeoBerInfB!B30&gt;1,INDEX(Tbl_Neo_MedIV,NeoBerInfB!B30,1),""),"")</f>
        <v/>
      </c>
      <c r="D47" s="211"/>
      <c r="E47" s="212" t="str">
        <f>IF(A47&lt;&gt;"",IF(NeoBerInfB!B30&gt;1,NeoBerInfB!C30/10,""),"")</f>
        <v/>
      </c>
      <c r="F47" s="211" t="str">
        <f>IF(Var_Neo_InfB_Cont_MedKeuze_8&lt;&gt;5,"mg","ml")</f>
        <v>mg</v>
      </c>
      <c r="G47" s="239" t="s">
        <v>516</v>
      </c>
      <c r="H47" s="211" t="str">
        <f>IF(A47&lt;&gt;"",IF(NeoBerInfB!B30&gt;1,INDEX(Tbl_Neo_MedIV,NeoBerInfB!B30,3),""),"")</f>
        <v/>
      </c>
      <c r="I47" s="211" t="s">
        <v>517</v>
      </c>
      <c r="J47" s="211" t="str">
        <f>IF(A47&lt;&gt;"",IF(NeoBerInfB!B30&gt;1,INDEX(Tbl_Neo_MedIV,NeoBerInfB!B30,4),""),"")</f>
        <v/>
      </c>
      <c r="K47" s="211" t="s">
        <v>518</v>
      </c>
      <c r="L47" s="211"/>
      <c r="M47" s="243" t="str">
        <f>IF(A47&lt;&gt;"",TRUNC((J47/H47)*E47),"")</f>
        <v/>
      </c>
      <c r="N47" s="244" t="str">
        <f>IF(A47&lt;&gt;"",(IF(A47&gt;0,ROUND((J47/H47)*E47,2),0)-M47)*100,"")</f>
        <v/>
      </c>
      <c r="O47" s="213" t="str">
        <f>IF(C47&lt;&gt;"",IF(Var_Neo_InfB_Cont_VochtExtra_02=8,"extra",""),"")</f>
        <v/>
      </c>
      <c r="P47" s="214"/>
    </row>
    <row r="48" spans="1:16" ht="15" x14ac:dyDescent="0.2">
      <c r="A48" s="233"/>
      <c r="B48" s="233"/>
      <c r="C48" s="225"/>
      <c r="D48" s="213"/>
      <c r="E48" s="213"/>
      <c r="F48" s="213"/>
      <c r="G48" s="242"/>
      <c r="H48" s="213"/>
      <c r="I48" s="213" t="s">
        <v>519</v>
      </c>
      <c r="J48" s="213" t="str">
        <f>IF(A47&lt;&gt;"",IF(A47&gt;0,NeoPrtAfspr!I40,""),"")</f>
        <v/>
      </c>
      <c r="K48" s="213"/>
      <c r="L48" s="213"/>
      <c r="M48" s="243" t="str">
        <f>IF(A47&lt;&gt;"",TRUNC(IF(A47&gt;0,M49+N49/100-M47-N47/100,0)),"")</f>
        <v/>
      </c>
      <c r="N48" s="244" t="str">
        <f>IF(A47&lt;&gt;"",(IF(A47&gt;0,M49+N49/100-M47-N47/100,0)-M48)*100,"")</f>
        <v/>
      </c>
      <c r="O48" s="213"/>
      <c r="P48" s="214"/>
    </row>
    <row r="49" spans="1:16" ht="15" x14ac:dyDescent="0.2">
      <c r="A49" s="233"/>
      <c r="B49" s="233"/>
      <c r="C49" s="220" t="str">
        <f>IF(A47&lt;&gt;"",NeoPrtAfspr!K40,"")</f>
        <v/>
      </c>
      <c r="D49" s="221"/>
      <c r="E49" s="221" t="str">
        <f>IF(A47&lt;&gt;"",NeoPrtAfspr!M40&amp;" "&amp;NeoPrtAfspr!N40,"")</f>
        <v/>
      </c>
      <c r="F49" s="221"/>
      <c r="G49" s="245"/>
      <c r="H49" s="221"/>
      <c r="I49" s="221"/>
      <c r="J49" s="246" t="s">
        <v>111</v>
      </c>
      <c r="K49" s="221"/>
      <c r="L49" s="221"/>
      <c r="M49" s="226" t="str">
        <f>IF(A47&lt;&gt;"",TRUNC(Var_Neo_InfB_Cont_OplHoev_8),"")</f>
        <v/>
      </c>
      <c r="N49" s="217" t="str">
        <f>IF(A47&lt;&gt;"",(Var_Neo_InfB_Cont_OplHoev_8-M49)*100,"")</f>
        <v/>
      </c>
      <c r="O49" s="213"/>
      <c r="P49" s="214"/>
    </row>
    <row r="50" spans="1:16" ht="15" x14ac:dyDescent="0.2">
      <c r="A50" s="233" t="str">
        <f>IF(NeoBerInfB!B31&gt;1,NeoBerInfB!F31/10,"")</f>
        <v/>
      </c>
      <c r="B50" s="233"/>
      <c r="C50" s="238" t="str">
        <f>IF(A50&lt;&gt;"",IF(NeoBerInfB!B31&gt;1,INDEX(Tbl_Neo_MedIV,NeoBerInfB!B31,1),""),"")</f>
        <v/>
      </c>
      <c r="D50" s="211"/>
      <c r="E50" s="212" t="str">
        <f>IF(A50&lt;&gt;"",IF(NeoBerInfB!B31&gt;1,NeoBerInfB!C31/10,""),"")</f>
        <v/>
      </c>
      <c r="F50" s="211" t="str">
        <f>IF(Var_Neo_InfB_Cont_MedKeuze_9&lt;&gt;5,"mg","ml")</f>
        <v>mg</v>
      </c>
      <c r="G50" s="239" t="s">
        <v>516</v>
      </c>
      <c r="H50" s="211" t="str">
        <f>IF(A50&lt;&gt;"",IF(NeoBerInfB!B31&gt;1,INDEX(Tbl_Neo_MedIV,NeoBerInfB!B31,3),""),"")</f>
        <v/>
      </c>
      <c r="I50" s="211" t="s">
        <v>517</v>
      </c>
      <c r="J50" s="211" t="str">
        <f>IF(A50&lt;&gt;"",IF(NeoBerInfB!B31&gt;1,INDEX(Tbl_Neo_MedIV,NeoBerInfB!B31,4),""),"")</f>
        <v/>
      </c>
      <c r="K50" s="211" t="s">
        <v>518</v>
      </c>
      <c r="L50" s="211"/>
      <c r="M50" s="240" t="str">
        <f>IF(A50&lt;&gt;"",TRUNC((J50/H50)*E50),"")</f>
        <v/>
      </c>
      <c r="N50" s="241" t="str">
        <f>IF(A50&lt;&gt;"",(IF(A50&gt;0,ROUND((J50/H50)*E50,2),0)-M50)*100,"")</f>
        <v/>
      </c>
      <c r="O50" s="213" t="str">
        <f>IF(C50&lt;&gt;"",IF(Var_Neo_InfB_Cont_VochtExtra_10,"extra",""),"")</f>
        <v/>
      </c>
      <c r="P50" s="214"/>
    </row>
    <row r="51" spans="1:16" ht="15" x14ac:dyDescent="0.2">
      <c r="A51" s="233"/>
      <c r="B51" s="233"/>
      <c r="C51" s="225"/>
      <c r="D51" s="213"/>
      <c r="E51" s="213"/>
      <c r="F51" s="213"/>
      <c r="G51" s="242"/>
      <c r="H51" s="213"/>
      <c r="I51" s="213" t="s">
        <v>519</v>
      </c>
      <c r="J51" s="213" t="str">
        <f>IF(A50&lt;&gt;"",IF(A50&gt;0,NeoPrtAfspr!I41,""),"")</f>
        <v/>
      </c>
      <c r="K51" s="213"/>
      <c r="L51" s="213"/>
      <c r="M51" s="243" t="str">
        <f>IF(A50&lt;&gt;"",TRUNC(IF(A50&gt;0,M52+N52/100-M50-N50/100,0)),"")</f>
        <v/>
      </c>
      <c r="N51" s="244" t="str">
        <f>IF(A50&lt;&gt;"",(IF(A50&gt;0,M52+N52/100-M50-N50/100,0)-M51)*100,"")</f>
        <v/>
      </c>
      <c r="O51" s="213"/>
      <c r="P51" s="214"/>
    </row>
    <row r="52" spans="1:16" ht="15" x14ac:dyDescent="0.2">
      <c r="A52" s="233"/>
      <c r="B52" s="233"/>
      <c r="C52" s="220" t="str">
        <f>IF(A50&lt;&gt;"",NeoPrtAfspr!K41,"")</f>
        <v/>
      </c>
      <c r="D52" s="221"/>
      <c r="E52" s="221" t="str">
        <f>IF(A50&lt;&gt;"",NeoPrtAfspr!M41&amp;" "&amp;NeoPrtAfspr!N41,"")</f>
        <v/>
      </c>
      <c r="F52" s="221"/>
      <c r="G52" s="245"/>
      <c r="H52" s="221"/>
      <c r="I52" s="221"/>
      <c r="J52" s="246" t="s">
        <v>111</v>
      </c>
      <c r="K52" s="221"/>
      <c r="L52" s="221"/>
      <c r="M52" s="226" t="str">
        <f>IF(A50&lt;&gt;"",TRUNC(Var_Neo_InfB_Cont_OplHoev_9),"")</f>
        <v/>
      </c>
      <c r="N52" s="217" t="str">
        <f>IF(A50&lt;&gt;"",(Var_Neo_InfB_Cont_OplHoev_9-M52)*100,"")</f>
        <v/>
      </c>
      <c r="O52" s="213"/>
      <c r="P52" s="214"/>
    </row>
    <row r="53" spans="1:16" x14ac:dyDescent="0.2"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47"/>
      <c r="N53" s="248"/>
      <c r="O53" s="213"/>
      <c r="P53" s="214"/>
    </row>
    <row r="54" spans="1:16" x14ac:dyDescent="0.2">
      <c r="A54" s="209"/>
      <c r="B54" s="210"/>
      <c r="C54" s="249" t="str">
        <f>IF(NeoPrtAfspr!B45&lt;&gt;0,NeoPrtAfspr!B45,"")</f>
        <v/>
      </c>
      <c r="D54" s="216"/>
      <c r="E54" s="216"/>
      <c r="F54" s="216"/>
      <c r="G54" s="250"/>
      <c r="H54" s="216"/>
      <c r="I54" s="216"/>
      <c r="J54" s="216"/>
      <c r="K54" s="216"/>
      <c r="L54" s="210"/>
      <c r="M54" s="251"/>
      <c r="N54" s="251"/>
      <c r="O54" s="213"/>
      <c r="P54" s="214"/>
    </row>
    <row r="55" spans="1:16" x14ac:dyDescent="0.2">
      <c r="A55" s="209"/>
      <c r="B55" s="210"/>
      <c r="C55" s="249" t="str">
        <f>IF(NeoPrtAfspr!B46&lt;&gt;0,NeoPrtAfspr!B46,"")</f>
        <v/>
      </c>
      <c r="D55" s="216"/>
      <c r="E55" s="216"/>
      <c r="F55" s="216"/>
      <c r="G55" s="250"/>
      <c r="H55" s="216"/>
      <c r="I55" s="216"/>
      <c r="J55" s="216"/>
      <c r="K55" s="216"/>
      <c r="L55" s="210"/>
      <c r="M55" s="251"/>
      <c r="N55" s="251"/>
      <c r="O55" s="213"/>
      <c r="P55" s="214"/>
    </row>
    <row r="56" spans="1:16" x14ac:dyDescent="0.2">
      <c r="A56" s="209"/>
      <c r="B56" s="210"/>
      <c r="C56" s="249"/>
      <c r="D56" s="216"/>
      <c r="E56" s="216"/>
      <c r="F56" s="216"/>
      <c r="G56" s="250"/>
      <c r="H56" s="216"/>
      <c r="I56" s="216"/>
      <c r="J56" s="216"/>
      <c r="K56" s="216"/>
      <c r="L56" s="210"/>
      <c r="M56" s="251"/>
      <c r="N56" s="251"/>
      <c r="O56" s="213"/>
      <c r="P56" s="214"/>
    </row>
    <row r="57" spans="1:16" x14ac:dyDescent="0.2">
      <c r="D57" s="252"/>
    </row>
  </sheetData>
  <sheetProtection password="CC20" sheet="1" objects="1" scenarios="1"/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M28"/>
  <sheetViews>
    <sheetView workbookViewId="0">
      <selection activeCell="K12" sqref="K12"/>
    </sheetView>
  </sheetViews>
  <sheetFormatPr defaultRowHeight="12.75" x14ac:dyDescent="0.2"/>
  <cols>
    <col min="1" max="1" width="9.140625" style="558"/>
    <col min="2" max="2" width="30.7109375" style="558" bestFit="1" customWidth="1"/>
    <col min="3" max="3" width="12.7109375" style="558" customWidth="1"/>
    <col min="4" max="4" width="18.7109375" style="558" customWidth="1"/>
    <col min="5" max="6" width="9.140625" style="558"/>
    <col min="7" max="11" width="13" style="558" customWidth="1"/>
    <col min="12" max="12" width="37.85546875" style="558" customWidth="1"/>
    <col min="13" max="16384" width="9.140625" style="558"/>
  </cols>
  <sheetData>
    <row r="1" spans="1:13" x14ac:dyDescent="0.2">
      <c r="L1" s="559" t="s">
        <v>5089</v>
      </c>
    </row>
    <row r="2" spans="1:13" s="861" customFormat="1" ht="25.5" x14ac:dyDescent="0.2">
      <c r="A2" s="859"/>
      <c r="B2" s="860" t="s">
        <v>571</v>
      </c>
      <c r="C2" s="860" t="s">
        <v>4109</v>
      </c>
      <c r="D2" s="860" t="s">
        <v>5087</v>
      </c>
      <c r="E2" s="860" t="s">
        <v>199</v>
      </c>
      <c r="F2" s="860" t="s">
        <v>468</v>
      </c>
      <c r="G2" s="860" t="s">
        <v>973</v>
      </c>
      <c r="H2" s="860" t="s">
        <v>974</v>
      </c>
      <c r="I2" s="860" t="s">
        <v>972</v>
      </c>
      <c r="J2" s="860" t="s">
        <v>975</v>
      </c>
      <c r="K2" s="860" t="s">
        <v>5088</v>
      </c>
      <c r="L2" s="860" t="s">
        <v>572</v>
      </c>
      <c r="M2" s="860" t="s">
        <v>5034</v>
      </c>
    </row>
    <row r="3" spans="1:13" x14ac:dyDescent="0.2">
      <c r="A3" s="862">
        <v>1</v>
      </c>
      <c r="B3" s="862"/>
      <c r="C3" s="862"/>
      <c r="D3" s="862"/>
      <c r="E3" s="862"/>
      <c r="F3" s="862"/>
      <c r="G3" s="862"/>
      <c r="H3" s="862"/>
      <c r="J3" s="558">
        <v>1</v>
      </c>
      <c r="L3" s="862"/>
    </row>
    <row r="4" spans="1:13" x14ac:dyDescent="0.2">
      <c r="A4" s="862">
        <v>2</v>
      </c>
      <c r="B4" s="456" t="s">
        <v>208</v>
      </c>
      <c r="C4" s="456" t="s">
        <v>159</v>
      </c>
      <c r="D4" s="456" t="s">
        <v>576</v>
      </c>
      <c r="E4" s="456">
        <v>0.1</v>
      </c>
      <c r="F4" s="456">
        <v>1</v>
      </c>
      <c r="G4" s="456">
        <v>0.05</v>
      </c>
      <c r="H4" s="456">
        <v>0.1</v>
      </c>
      <c r="I4" s="334">
        <v>0.5</v>
      </c>
      <c r="J4" s="334">
        <v>3</v>
      </c>
      <c r="K4" s="334"/>
      <c r="L4" s="862" t="str">
        <f t="shared" ref="L4:L27" si="0">IF(ISBLANK(K4),CONCATENATE(G4,"-",H4," ",D4),K4)</f>
        <v>0,05-0,1 microg/kg/min</v>
      </c>
      <c r="M4" s="558">
        <f t="shared" ref="M4:M27" si="1">HLOOKUP(C4,Tbl_Glob_Conv_EenhCont,VLOOKUP(D4,Tbl_Glob_Conv_EenhCont,2,FALSE),FALSE)</f>
        <v>16.666666666666668</v>
      </c>
    </row>
    <row r="5" spans="1:13" x14ac:dyDescent="0.2">
      <c r="A5" s="862">
        <v>3</v>
      </c>
      <c r="B5" s="456" t="s">
        <v>5377</v>
      </c>
      <c r="C5" s="456" t="s">
        <v>159</v>
      </c>
      <c r="D5" s="456" t="s">
        <v>414</v>
      </c>
      <c r="E5" s="456">
        <v>0.5</v>
      </c>
      <c r="F5" s="456">
        <v>1</v>
      </c>
      <c r="G5" s="456">
        <v>10</v>
      </c>
      <c r="H5" s="456">
        <v>100</v>
      </c>
      <c r="I5" s="334">
        <v>100</v>
      </c>
      <c r="J5" s="334">
        <v>3</v>
      </c>
      <c r="K5" s="334"/>
      <c r="L5" s="862" t="str">
        <f t="shared" si="0"/>
        <v>10-100 nanog/kg/min</v>
      </c>
      <c r="M5" s="558">
        <f t="shared" si="1"/>
        <v>16666.666666666668</v>
      </c>
    </row>
    <row r="6" spans="1:13" x14ac:dyDescent="0.2">
      <c r="A6" s="862">
        <v>4</v>
      </c>
      <c r="B6" s="456" t="s">
        <v>423</v>
      </c>
      <c r="C6" s="456" t="s">
        <v>159</v>
      </c>
      <c r="D6" s="456" t="s">
        <v>576</v>
      </c>
      <c r="E6" s="456">
        <v>50</v>
      </c>
      <c r="F6" s="456">
        <v>1</v>
      </c>
      <c r="G6" s="456">
        <v>5</v>
      </c>
      <c r="H6" s="456">
        <v>15</v>
      </c>
      <c r="I6" s="334">
        <v>15</v>
      </c>
      <c r="J6" s="334">
        <v>3</v>
      </c>
      <c r="K6" s="334"/>
      <c r="L6" s="862" t="str">
        <f t="shared" si="0"/>
        <v>5-15 microg/kg/min</v>
      </c>
      <c r="M6" s="558">
        <f t="shared" si="1"/>
        <v>16.666666666666668</v>
      </c>
    </row>
    <row r="7" spans="1:13" x14ac:dyDescent="0.2">
      <c r="A7" s="862">
        <v>5</v>
      </c>
      <c r="B7" s="456" t="s">
        <v>5378</v>
      </c>
      <c r="C7" s="456" t="s">
        <v>159</v>
      </c>
      <c r="D7" s="456" t="s">
        <v>355</v>
      </c>
      <c r="E7" s="456">
        <v>1</v>
      </c>
      <c r="F7" s="456">
        <v>2</v>
      </c>
      <c r="G7" s="456">
        <v>0.1</v>
      </c>
      <c r="H7" s="456">
        <v>0.5</v>
      </c>
      <c r="I7" s="334">
        <v>0.5</v>
      </c>
      <c r="J7" s="334">
        <v>3</v>
      </c>
      <c r="K7" s="334"/>
      <c r="L7" s="862" t="str">
        <f t="shared" si="0"/>
        <v>0,1-0,5 mg/kg/dag</v>
      </c>
      <c r="M7" s="558">
        <f t="shared" si="1"/>
        <v>24</v>
      </c>
    </row>
    <row r="8" spans="1:13" x14ac:dyDescent="0.2">
      <c r="A8" s="862">
        <v>6</v>
      </c>
      <c r="B8" s="456" t="s">
        <v>40</v>
      </c>
      <c r="C8" s="456" t="s">
        <v>159</v>
      </c>
      <c r="D8" s="456" t="s">
        <v>712</v>
      </c>
      <c r="E8" s="456">
        <v>0.15</v>
      </c>
      <c r="F8" s="456">
        <v>1</v>
      </c>
      <c r="G8" s="456">
        <v>0.25</v>
      </c>
      <c r="H8" s="456">
        <v>2</v>
      </c>
      <c r="I8" s="334">
        <v>2</v>
      </c>
      <c r="J8" s="334">
        <v>12</v>
      </c>
      <c r="K8" s="334"/>
      <c r="L8" s="862" t="str">
        <f t="shared" si="0"/>
        <v>0,25-2 microg/kg/uur</v>
      </c>
      <c r="M8" s="558">
        <f t="shared" si="1"/>
        <v>1000</v>
      </c>
    </row>
    <row r="9" spans="1:13" x14ac:dyDescent="0.2">
      <c r="A9" s="862">
        <v>7</v>
      </c>
      <c r="B9" s="456" t="s">
        <v>323</v>
      </c>
      <c r="C9" s="456" t="s">
        <v>159</v>
      </c>
      <c r="D9" s="456" t="s">
        <v>576</v>
      </c>
      <c r="E9" s="456">
        <v>12.5</v>
      </c>
      <c r="F9" s="456">
        <v>1</v>
      </c>
      <c r="G9" s="456">
        <v>2.5</v>
      </c>
      <c r="H9" s="456">
        <v>20</v>
      </c>
      <c r="I9" s="334">
        <v>20</v>
      </c>
      <c r="J9" s="334">
        <v>3</v>
      </c>
      <c r="K9" s="334"/>
      <c r="L9" s="862" t="str">
        <f t="shared" si="0"/>
        <v>2,5-20 microg/kg/min</v>
      </c>
      <c r="M9" s="558">
        <f t="shared" si="1"/>
        <v>16.666666666666668</v>
      </c>
    </row>
    <row r="10" spans="1:13" x14ac:dyDescent="0.2">
      <c r="A10" s="862">
        <v>8</v>
      </c>
      <c r="B10" s="456" t="s">
        <v>294</v>
      </c>
      <c r="C10" s="456" t="s">
        <v>159</v>
      </c>
      <c r="D10" s="456" t="s">
        <v>576</v>
      </c>
      <c r="E10" s="456">
        <v>40</v>
      </c>
      <c r="F10" s="456">
        <v>1</v>
      </c>
      <c r="G10" s="456">
        <v>1</v>
      </c>
      <c r="H10" s="456">
        <v>20</v>
      </c>
      <c r="I10" s="334">
        <v>20</v>
      </c>
      <c r="J10" s="334">
        <v>3</v>
      </c>
      <c r="K10" s="334"/>
      <c r="L10" s="862" t="str">
        <f t="shared" si="0"/>
        <v>1-20 microg/kg/min</v>
      </c>
      <c r="M10" s="558">
        <f t="shared" si="1"/>
        <v>16.666666666666668</v>
      </c>
    </row>
    <row r="11" spans="1:13" s="559" customFormat="1" x14ac:dyDescent="0.2">
      <c r="A11" s="862">
        <v>9</v>
      </c>
      <c r="B11" s="438" t="s">
        <v>5379</v>
      </c>
      <c r="C11" s="456" t="s">
        <v>159</v>
      </c>
      <c r="D11" s="439" t="s">
        <v>354</v>
      </c>
      <c r="E11" s="438">
        <v>2</v>
      </c>
      <c r="F11" s="438">
        <v>1</v>
      </c>
      <c r="G11" s="456">
        <v>0.5</v>
      </c>
      <c r="H11" s="456">
        <v>2</v>
      </c>
      <c r="I11" s="335">
        <v>2</v>
      </c>
      <c r="J11" s="335">
        <v>3</v>
      </c>
      <c r="K11" s="335"/>
      <c r="L11" s="862" t="str">
        <f t="shared" si="0"/>
        <v>0,5-2 mg/kg/uur</v>
      </c>
      <c r="M11" s="558">
        <f t="shared" si="1"/>
        <v>1</v>
      </c>
    </row>
    <row r="12" spans="1:13" x14ac:dyDescent="0.2">
      <c r="A12" s="862">
        <v>10</v>
      </c>
      <c r="B12" s="456" t="s">
        <v>714</v>
      </c>
      <c r="C12" s="456" t="s">
        <v>160</v>
      </c>
      <c r="D12" s="456" t="s">
        <v>171</v>
      </c>
      <c r="E12" s="456">
        <v>2.5</v>
      </c>
      <c r="F12" s="456">
        <v>1</v>
      </c>
      <c r="G12" s="456">
        <v>1</v>
      </c>
      <c r="H12" s="456">
        <v>1000</v>
      </c>
      <c r="I12" s="334">
        <v>1000</v>
      </c>
      <c r="J12" s="334">
        <v>1</v>
      </c>
      <c r="K12" s="456" t="s">
        <v>5383</v>
      </c>
      <c r="L12" s="862" t="str">
        <f t="shared" si="0"/>
        <v>N.B. Epiduraal, volgens voorschrift anesthesist!</v>
      </c>
      <c r="M12" s="558">
        <f t="shared" si="1"/>
        <v>1</v>
      </c>
    </row>
    <row r="13" spans="1:13" x14ac:dyDescent="0.2">
      <c r="A13" s="862">
        <v>11</v>
      </c>
      <c r="B13" s="456" t="s">
        <v>713</v>
      </c>
      <c r="C13" s="456" t="s">
        <v>160</v>
      </c>
      <c r="D13" s="456" t="s">
        <v>171</v>
      </c>
      <c r="E13" s="456">
        <v>2.5</v>
      </c>
      <c r="F13" s="456">
        <v>1</v>
      </c>
      <c r="G13" s="456">
        <v>1</v>
      </c>
      <c r="H13" s="456">
        <v>1000</v>
      </c>
      <c r="I13" s="334">
        <v>1000</v>
      </c>
      <c r="J13" s="334">
        <v>1</v>
      </c>
      <c r="K13" s="456" t="s">
        <v>5383</v>
      </c>
      <c r="L13" s="862" t="str">
        <f t="shared" si="0"/>
        <v>N.B. Epiduraal, volgens voorschrift anesthesist!</v>
      </c>
      <c r="M13" s="558">
        <f t="shared" si="1"/>
        <v>1</v>
      </c>
    </row>
    <row r="14" spans="1:13" x14ac:dyDescent="0.2">
      <c r="A14" s="862">
        <v>12</v>
      </c>
      <c r="B14" s="456" t="s">
        <v>5380</v>
      </c>
      <c r="C14" s="456" t="s">
        <v>159</v>
      </c>
      <c r="D14" s="456" t="s">
        <v>414</v>
      </c>
      <c r="E14" s="456">
        <v>0.01</v>
      </c>
      <c r="F14" s="456">
        <v>1</v>
      </c>
      <c r="G14" s="456">
        <v>5</v>
      </c>
      <c r="H14" s="456">
        <v>30</v>
      </c>
      <c r="I14" s="334">
        <v>30</v>
      </c>
      <c r="J14" s="334">
        <v>14</v>
      </c>
      <c r="K14" s="334"/>
      <c r="L14" s="862" t="str">
        <f t="shared" si="0"/>
        <v>5-30 nanog/kg/min</v>
      </c>
      <c r="M14" s="558">
        <f t="shared" si="1"/>
        <v>16666.666666666668</v>
      </c>
    </row>
    <row r="15" spans="1:13" x14ac:dyDescent="0.2">
      <c r="A15" s="862">
        <v>13</v>
      </c>
      <c r="B15" s="456" t="s">
        <v>459</v>
      </c>
      <c r="C15" s="456" t="s">
        <v>159</v>
      </c>
      <c r="D15" s="456" t="s">
        <v>466</v>
      </c>
      <c r="E15" s="456">
        <v>10</v>
      </c>
      <c r="F15" s="456">
        <v>11</v>
      </c>
      <c r="G15" s="456">
        <v>0.1</v>
      </c>
      <c r="H15" s="456">
        <v>1</v>
      </c>
      <c r="I15" s="334">
        <v>1</v>
      </c>
      <c r="J15" s="334">
        <v>3</v>
      </c>
      <c r="K15" s="334"/>
      <c r="L15" s="862" t="str">
        <f t="shared" si="0"/>
        <v>0,1-1 mg/kg/min</v>
      </c>
      <c r="M15" s="558">
        <f t="shared" si="1"/>
        <v>1.6666666666666666E-2</v>
      </c>
    </row>
    <row r="16" spans="1:13" x14ac:dyDescent="0.2">
      <c r="A16" s="862">
        <v>14</v>
      </c>
      <c r="B16" s="335" t="s">
        <v>165</v>
      </c>
      <c r="C16" s="456" t="s">
        <v>159</v>
      </c>
      <c r="D16" s="148" t="s">
        <v>355</v>
      </c>
      <c r="E16" s="456">
        <v>10</v>
      </c>
      <c r="F16" s="456">
        <v>1</v>
      </c>
      <c r="G16" s="456">
        <v>1</v>
      </c>
      <c r="H16" s="456">
        <v>4</v>
      </c>
      <c r="I16" s="334">
        <v>4</v>
      </c>
      <c r="J16" s="334">
        <v>3</v>
      </c>
      <c r="K16" s="334"/>
      <c r="L16" s="862" t="str">
        <f t="shared" si="0"/>
        <v>1-4 mg/kg/dag</v>
      </c>
      <c r="M16" s="558">
        <f t="shared" si="1"/>
        <v>24</v>
      </c>
    </row>
    <row r="17" spans="1:13" x14ac:dyDescent="0.2">
      <c r="A17" s="862">
        <v>15</v>
      </c>
      <c r="B17" s="335" t="s">
        <v>461</v>
      </c>
      <c r="C17" s="456" t="s">
        <v>5041</v>
      </c>
      <c r="D17" s="148" t="s">
        <v>184</v>
      </c>
      <c r="E17" s="456">
        <v>100</v>
      </c>
      <c r="F17" s="456">
        <v>1</v>
      </c>
      <c r="G17" s="456">
        <v>0.01</v>
      </c>
      <c r="H17" s="456">
        <v>0.1</v>
      </c>
      <c r="I17" s="334">
        <v>0.1</v>
      </c>
      <c r="J17" s="334">
        <v>3</v>
      </c>
      <c r="K17" s="334"/>
      <c r="L17" s="862" t="str">
        <f t="shared" si="0"/>
        <v>0,01-0,1 IE/kg/uur</v>
      </c>
      <c r="M17" s="558">
        <f t="shared" si="1"/>
        <v>1</v>
      </c>
    </row>
    <row r="18" spans="1:13" x14ac:dyDescent="0.2">
      <c r="A18" s="862">
        <v>16</v>
      </c>
      <c r="B18" s="335" t="s">
        <v>385</v>
      </c>
      <c r="C18" s="456" t="s">
        <v>159</v>
      </c>
      <c r="D18" s="148" t="s">
        <v>576</v>
      </c>
      <c r="E18" s="456">
        <v>1</v>
      </c>
      <c r="F18" s="456">
        <v>1</v>
      </c>
      <c r="G18" s="456">
        <v>0.01</v>
      </c>
      <c r="H18" s="456">
        <v>1.5</v>
      </c>
      <c r="I18" s="334">
        <v>0.5</v>
      </c>
      <c r="J18" s="334">
        <v>14</v>
      </c>
      <c r="K18" s="334"/>
      <c r="L18" s="862" t="str">
        <f t="shared" si="0"/>
        <v>0,01-1,5 microg/kg/min</v>
      </c>
      <c r="M18" s="558">
        <f t="shared" si="1"/>
        <v>16.666666666666668</v>
      </c>
    </row>
    <row r="19" spans="1:13" x14ac:dyDescent="0.2">
      <c r="A19" s="862">
        <v>17</v>
      </c>
      <c r="B19" s="335" t="s">
        <v>462</v>
      </c>
      <c r="C19" s="456" t="s">
        <v>159</v>
      </c>
      <c r="D19" s="148" t="s">
        <v>354</v>
      </c>
      <c r="E19" s="456">
        <v>5</v>
      </c>
      <c r="F19" s="456">
        <v>1</v>
      </c>
      <c r="G19" s="456">
        <v>0.25</v>
      </c>
      <c r="H19" s="456">
        <v>3</v>
      </c>
      <c r="I19" s="334">
        <v>3</v>
      </c>
      <c r="J19" s="334">
        <v>3</v>
      </c>
      <c r="K19" s="334"/>
      <c r="L19" s="862" t="str">
        <f t="shared" si="0"/>
        <v>0,25-3 mg/kg/uur</v>
      </c>
      <c r="M19" s="558">
        <f t="shared" si="1"/>
        <v>1</v>
      </c>
    </row>
    <row r="20" spans="1:13" x14ac:dyDescent="0.2">
      <c r="A20" s="862">
        <v>18</v>
      </c>
      <c r="B20" s="456" t="s">
        <v>5381</v>
      </c>
      <c r="C20" s="456" t="s">
        <v>159</v>
      </c>
      <c r="D20" s="456" t="s">
        <v>354</v>
      </c>
      <c r="E20" s="456">
        <v>20</v>
      </c>
      <c r="F20" s="456">
        <v>1</v>
      </c>
      <c r="G20" s="456">
        <v>4</v>
      </c>
      <c r="H20" s="456">
        <v>7</v>
      </c>
      <c r="I20" s="334">
        <v>7</v>
      </c>
      <c r="J20" s="334">
        <v>3</v>
      </c>
      <c r="K20" s="456" t="s">
        <v>716</v>
      </c>
      <c r="L20" s="862" t="str">
        <f t="shared" si="0"/>
        <v>4-7 mg/kg/uur (volgens protocol, let op hypothermie)</v>
      </c>
      <c r="M20" s="558">
        <f t="shared" si="1"/>
        <v>1</v>
      </c>
    </row>
    <row r="21" spans="1:13" x14ac:dyDescent="0.2">
      <c r="A21" s="862">
        <v>19</v>
      </c>
      <c r="B21" s="335" t="s">
        <v>349</v>
      </c>
      <c r="C21" s="456" t="s">
        <v>159</v>
      </c>
      <c r="D21" s="148" t="s">
        <v>354</v>
      </c>
      <c r="E21" s="456">
        <v>5</v>
      </c>
      <c r="F21" s="456">
        <v>1</v>
      </c>
      <c r="G21" s="456">
        <v>0.05</v>
      </c>
      <c r="H21" s="456">
        <v>5</v>
      </c>
      <c r="I21" s="334">
        <v>5</v>
      </c>
      <c r="J21" s="334">
        <v>3</v>
      </c>
      <c r="K21" s="334"/>
      <c r="L21" s="862" t="str">
        <f t="shared" si="0"/>
        <v>0,05-5 mg/kg/uur</v>
      </c>
      <c r="M21" s="558">
        <f t="shared" si="1"/>
        <v>1</v>
      </c>
    </row>
    <row r="22" spans="1:13" x14ac:dyDescent="0.2">
      <c r="A22" s="862">
        <v>20</v>
      </c>
      <c r="B22" s="335" t="s">
        <v>464</v>
      </c>
      <c r="C22" s="456" t="s">
        <v>159</v>
      </c>
      <c r="D22" s="148" t="s">
        <v>576</v>
      </c>
      <c r="E22" s="456">
        <v>1</v>
      </c>
      <c r="F22" s="456">
        <v>1</v>
      </c>
      <c r="G22" s="456">
        <v>0.25</v>
      </c>
      <c r="H22" s="456">
        <v>0.75</v>
      </c>
      <c r="I22" s="334">
        <v>0.75</v>
      </c>
      <c r="J22" s="334">
        <v>3</v>
      </c>
      <c r="K22" s="334"/>
      <c r="L22" s="862" t="str">
        <f t="shared" si="0"/>
        <v>0,25-0,75 microg/kg/min</v>
      </c>
      <c r="M22" s="558">
        <f t="shared" si="1"/>
        <v>16.666666666666668</v>
      </c>
    </row>
    <row r="23" spans="1:13" x14ac:dyDescent="0.2">
      <c r="A23" s="862">
        <v>21</v>
      </c>
      <c r="B23" s="335" t="s">
        <v>116</v>
      </c>
      <c r="C23" s="456" t="s">
        <v>159</v>
      </c>
      <c r="D23" s="148" t="s">
        <v>355</v>
      </c>
      <c r="E23" s="456">
        <v>10</v>
      </c>
      <c r="F23" s="456">
        <v>1</v>
      </c>
      <c r="G23" s="456">
        <v>0.125</v>
      </c>
      <c r="H23" s="456">
        <v>0.5</v>
      </c>
      <c r="I23" s="334">
        <v>0.5</v>
      </c>
      <c r="J23" s="334">
        <v>3</v>
      </c>
      <c r="K23" s="334"/>
      <c r="L23" s="862" t="str">
        <f t="shared" si="0"/>
        <v>0,125-0,5 mg/kg/dag</v>
      </c>
      <c r="M23" s="558">
        <f t="shared" si="1"/>
        <v>24</v>
      </c>
    </row>
    <row r="24" spans="1:13" x14ac:dyDescent="0.2">
      <c r="A24" s="862">
        <v>22</v>
      </c>
      <c r="B24" s="456" t="s">
        <v>5382</v>
      </c>
      <c r="C24" s="456" t="s">
        <v>159</v>
      </c>
      <c r="D24" s="456" t="s">
        <v>576</v>
      </c>
      <c r="E24" s="456">
        <v>1</v>
      </c>
      <c r="F24" s="456">
        <v>1</v>
      </c>
      <c r="G24" s="456">
        <v>0.5</v>
      </c>
      <c r="H24" s="456">
        <v>2</v>
      </c>
      <c r="I24" s="334">
        <v>2</v>
      </c>
      <c r="J24" s="334">
        <v>3</v>
      </c>
      <c r="K24" s="334"/>
      <c r="L24" s="862" t="str">
        <f t="shared" si="0"/>
        <v>0,5-2 microg/kg/min</v>
      </c>
      <c r="M24" s="558">
        <f t="shared" si="1"/>
        <v>16.666666666666668</v>
      </c>
    </row>
    <row r="25" spans="1:13" x14ac:dyDescent="0.2">
      <c r="A25" s="862">
        <v>23</v>
      </c>
      <c r="B25" s="335" t="s">
        <v>57</v>
      </c>
      <c r="C25" s="456" t="s">
        <v>159</v>
      </c>
      <c r="D25" s="148" t="s">
        <v>576</v>
      </c>
      <c r="E25" s="456">
        <v>25</v>
      </c>
      <c r="F25" s="456">
        <v>1</v>
      </c>
      <c r="G25" s="456">
        <v>0.5</v>
      </c>
      <c r="H25" s="456">
        <v>8</v>
      </c>
      <c r="I25" s="334">
        <v>8</v>
      </c>
      <c r="J25" s="334">
        <v>3</v>
      </c>
      <c r="K25" s="334"/>
      <c r="L25" s="862" t="str">
        <f t="shared" si="0"/>
        <v>0,5-8 microg/kg/min</v>
      </c>
      <c r="M25" s="558">
        <f t="shared" si="1"/>
        <v>16.666666666666668</v>
      </c>
    </row>
    <row r="26" spans="1:13" x14ac:dyDescent="0.2">
      <c r="A26" s="862">
        <v>24</v>
      </c>
      <c r="B26" s="335" t="s">
        <v>381</v>
      </c>
      <c r="C26" s="456" t="s">
        <v>159</v>
      </c>
      <c r="D26" s="148" t="s">
        <v>576</v>
      </c>
      <c r="E26" s="456">
        <v>1</v>
      </c>
      <c r="F26" s="456">
        <v>1</v>
      </c>
      <c r="G26" s="456">
        <v>0.05</v>
      </c>
      <c r="H26" s="456">
        <v>2</v>
      </c>
      <c r="I26" s="334">
        <v>2</v>
      </c>
      <c r="J26" s="334">
        <v>3</v>
      </c>
      <c r="K26" s="334"/>
      <c r="L26" s="862" t="str">
        <f t="shared" si="0"/>
        <v>0,05-2 microg/kg/min</v>
      </c>
      <c r="M26" s="558">
        <f t="shared" si="1"/>
        <v>16.666666666666668</v>
      </c>
    </row>
    <row r="27" spans="1:13" x14ac:dyDescent="0.2">
      <c r="A27" s="862">
        <v>25</v>
      </c>
      <c r="B27" s="335" t="s">
        <v>266</v>
      </c>
      <c r="C27" s="456" t="s">
        <v>159</v>
      </c>
      <c r="D27" s="148" t="s">
        <v>354</v>
      </c>
      <c r="E27" s="456">
        <v>10</v>
      </c>
      <c r="F27" s="456">
        <v>1</v>
      </c>
      <c r="G27" s="456">
        <v>0.3</v>
      </c>
      <c r="H27" s="456">
        <v>1.2</v>
      </c>
      <c r="I27" s="334">
        <v>1.2</v>
      </c>
      <c r="J27" s="334">
        <v>3</v>
      </c>
      <c r="K27" s="334"/>
      <c r="L27" s="862" t="str">
        <f t="shared" si="0"/>
        <v>0,3-1,2 mg/kg/uur</v>
      </c>
      <c r="M27" s="558">
        <f t="shared" si="1"/>
        <v>1</v>
      </c>
    </row>
    <row r="28" spans="1:13" x14ac:dyDescent="0.2">
      <c r="A28" s="862" t="s">
        <v>5077</v>
      </c>
      <c r="B28" s="858">
        <v>1</v>
      </c>
      <c r="C28" s="858">
        <f>B28+1</f>
        <v>2</v>
      </c>
      <c r="D28" s="858">
        <f t="shared" ref="D28:M28" si="2">C28+1</f>
        <v>3</v>
      </c>
      <c r="E28" s="858">
        <f t="shared" si="2"/>
        <v>4</v>
      </c>
      <c r="F28" s="858">
        <f t="shared" si="2"/>
        <v>5</v>
      </c>
      <c r="G28" s="858">
        <f t="shared" si="2"/>
        <v>6</v>
      </c>
      <c r="H28" s="858">
        <f t="shared" si="2"/>
        <v>7</v>
      </c>
      <c r="I28" s="858">
        <f t="shared" si="2"/>
        <v>8</v>
      </c>
      <c r="J28" s="858">
        <f t="shared" si="2"/>
        <v>9</v>
      </c>
      <c r="K28" s="858">
        <f t="shared" si="2"/>
        <v>10</v>
      </c>
      <c r="L28" s="858">
        <f t="shared" si="2"/>
        <v>11</v>
      </c>
      <c r="M28" s="858">
        <f t="shared" si="2"/>
        <v>12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B9" sqref="B9"/>
    </sheetView>
  </sheetViews>
  <sheetFormatPr defaultColWidth="9.140625" defaultRowHeight="12.75" x14ac:dyDescent="0.2"/>
  <cols>
    <col min="1" max="1" width="38.85546875" style="154" customWidth="1"/>
    <col min="2" max="16384" width="9.140625" style="154"/>
  </cols>
  <sheetData>
    <row r="1" spans="1:7" x14ac:dyDescent="0.2">
      <c r="A1" s="367" t="s">
        <v>5373</v>
      </c>
      <c r="B1" s="973">
        <v>1</v>
      </c>
      <c r="C1" s="973">
        <v>2</v>
      </c>
      <c r="D1" s="973">
        <v>3</v>
      </c>
      <c r="E1" s="973">
        <v>4</v>
      </c>
      <c r="F1" s="973">
        <v>5</v>
      </c>
      <c r="G1" s="973">
        <v>6</v>
      </c>
    </row>
    <row r="2" spans="1:7" x14ac:dyDescent="0.2">
      <c r="A2" s="842" t="s">
        <v>560</v>
      </c>
      <c r="B2" s="973"/>
      <c r="C2" s="973"/>
      <c r="D2" s="973"/>
      <c r="E2" s="973"/>
      <c r="F2" s="973"/>
      <c r="G2" s="973"/>
    </row>
    <row r="3" spans="1:7" x14ac:dyDescent="0.2">
      <c r="A3" s="304" t="s">
        <v>561</v>
      </c>
      <c r="B3" s="974">
        <v>50</v>
      </c>
      <c r="C3" s="974">
        <v>80</v>
      </c>
      <c r="D3" s="974">
        <v>110</v>
      </c>
      <c r="E3" s="974">
        <v>150</v>
      </c>
      <c r="F3" s="974">
        <v>150</v>
      </c>
      <c r="G3" s="974">
        <v>150</v>
      </c>
    </row>
    <row r="4" spans="1:7" x14ac:dyDescent="0.2">
      <c r="A4" s="304" t="s">
        <v>606</v>
      </c>
      <c r="B4" s="975">
        <f>80-(((_Pat_Gewicht/10)*1000)-500)/500*30</f>
        <v>110</v>
      </c>
      <c r="C4" s="975">
        <f>110-(((_Pat_Gewicht/10)*1000)-500)/500*30</f>
        <v>140</v>
      </c>
      <c r="D4" s="975">
        <f>150-(((_Pat_Gewicht/10)*1000)-500)/500*40</f>
        <v>190</v>
      </c>
      <c r="E4" s="975">
        <f>160-(((_Pat_Gewicht/10)*1000)-500)/500*10</f>
        <v>170</v>
      </c>
      <c r="F4" s="975">
        <v>160</v>
      </c>
      <c r="G4" s="975">
        <v>160</v>
      </c>
    </row>
    <row r="5" spans="1:7" x14ac:dyDescent="0.2">
      <c r="A5" s="373" t="s">
        <v>562</v>
      </c>
      <c r="B5" s="974">
        <v>30</v>
      </c>
      <c r="C5" s="974">
        <v>50</v>
      </c>
      <c r="D5" s="974">
        <v>70</v>
      </c>
      <c r="E5" s="974">
        <v>90</v>
      </c>
      <c r="F5" s="974">
        <v>110</v>
      </c>
      <c r="G5" s="974">
        <v>150</v>
      </c>
    </row>
    <row r="6" spans="1:7" x14ac:dyDescent="0.2">
      <c r="A6" s="304"/>
      <c r="B6" s="974"/>
      <c r="C6" s="974"/>
      <c r="D6" s="974"/>
      <c r="E6" s="974"/>
      <c r="F6" s="974"/>
      <c r="G6" s="974"/>
    </row>
    <row r="7" spans="1:7" x14ac:dyDescent="0.2">
      <c r="A7" s="306" t="s">
        <v>563</v>
      </c>
      <c r="B7" s="976"/>
      <c r="C7" s="976"/>
      <c r="D7" s="976"/>
      <c r="E7" s="976"/>
      <c r="F7" s="976"/>
      <c r="G7" s="976"/>
    </row>
    <row r="8" spans="1:7" x14ac:dyDescent="0.2">
      <c r="A8" s="304" t="s">
        <v>564</v>
      </c>
      <c r="B8" s="974"/>
      <c r="C8" s="974"/>
      <c r="D8" s="974"/>
      <c r="E8" s="974">
        <v>35</v>
      </c>
      <c r="F8" s="974">
        <v>35</v>
      </c>
      <c r="G8" s="974">
        <v>35</v>
      </c>
    </row>
    <row r="9" spans="1:7" x14ac:dyDescent="0.2">
      <c r="A9" s="304" t="s">
        <v>34</v>
      </c>
      <c r="B9" s="974"/>
      <c r="C9" s="974" t="s">
        <v>565</v>
      </c>
      <c r="D9" s="974" t="s">
        <v>565</v>
      </c>
      <c r="E9" s="974"/>
      <c r="F9" s="974"/>
      <c r="G9" s="974"/>
    </row>
    <row r="10" spans="1:7" x14ac:dyDescent="0.2">
      <c r="A10" s="304" t="s">
        <v>513</v>
      </c>
      <c r="B10" s="974"/>
      <c r="C10" s="974" t="s">
        <v>566</v>
      </c>
      <c r="D10" s="974" t="s">
        <v>566</v>
      </c>
      <c r="E10" s="974"/>
      <c r="F10" s="974"/>
      <c r="G10" s="974"/>
    </row>
    <row r="11" spans="1:7" ht="15.75" x14ac:dyDescent="0.3">
      <c r="A11" s="304" t="s">
        <v>567</v>
      </c>
      <c r="B11" s="974" t="s">
        <v>565</v>
      </c>
      <c r="C11" s="974" t="s">
        <v>565</v>
      </c>
      <c r="D11" s="974" t="s">
        <v>565</v>
      </c>
      <c r="E11" s="974"/>
      <c r="F11" s="974"/>
      <c r="G11" s="974"/>
    </row>
    <row r="12" spans="1:7" ht="15.75" x14ac:dyDescent="0.3">
      <c r="A12" s="304" t="s">
        <v>568</v>
      </c>
      <c r="B12" s="974">
        <v>0.3</v>
      </c>
      <c r="C12" s="974">
        <v>0.3</v>
      </c>
      <c r="D12" s="974">
        <v>0.3</v>
      </c>
      <c r="E12" s="974"/>
      <c r="F12" s="974"/>
      <c r="G12" s="974"/>
    </row>
    <row r="13" spans="1:7" x14ac:dyDescent="0.2">
      <c r="A13" s="304" t="s">
        <v>209</v>
      </c>
      <c r="B13" s="974"/>
      <c r="C13" s="974">
        <v>1</v>
      </c>
      <c r="D13" s="974">
        <v>1</v>
      </c>
      <c r="E13" s="974"/>
      <c r="F13" s="974"/>
      <c r="G13" s="974"/>
    </row>
    <row r="14" spans="1:7" x14ac:dyDescent="0.2">
      <c r="A14" s="304" t="s">
        <v>569</v>
      </c>
      <c r="B14" s="974"/>
      <c r="C14" s="974">
        <v>7.5</v>
      </c>
      <c r="D14" s="974">
        <v>15</v>
      </c>
      <c r="E14" s="974"/>
      <c r="F14" s="974"/>
      <c r="G14" s="974"/>
    </row>
    <row r="15" spans="1:7" ht="12.75" customHeight="1" x14ac:dyDescent="0.2">
      <c r="A15" s="304" t="s">
        <v>570</v>
      </c>
      <c r="B15" s="974"/>
      <c r="C15" s="974">
        <v>2.5</v>
      </c>
      <c r="D15" s="974">
        <v>5</v>
      </c>
      <c r="E15" s="974">
        <v>7.5</v>
      </c>
      <c r="F15" s="974">
        <v>10</v>
      </c>
      <c r="G15" s="974">
        <v>12</v>
      </c>
    </row>
    <row r="16" spans="1:7" x14ac:dyDescent="0.2">
      <c r="A16" s="304"/>
      <c r="B16" s="304"/>
      <c r="C16" s="304"/>
      <c r="D16" s="155"/>
      <c r="E16" s="155"/>
      <c r="F16" s="155"/>
      <c r="G16" s="155"/>
    </row>
    <row r="18" spans="1:8" x14ac:dyDescent="0.2">
      <c r="B18" s="307"/>
      <c r="C18" s="307"/>
      <c r="D18" s="307"/>
      <c r="E18" s="307"/>
      <c r="F18" s="307"/>
      <c r="G18" s="307"/>
    </row>
    <row r="20" spans="1:8" x14ac:dyDescent="0.2">
      <c r="A20" s="162"/>
      <c r="B20" s="162"/>
      <c r="C20" s="162"/>
      <c r="D20" s="162"/>
      <c r="E20" s="162"/>
      <c r="F20" s="162"/>
      <c r="G20" s="162"/>
      <c r="H20" s="162"/>
    </row>
    <row r="21" spans="1:8" x14ac:dyDescent="0.2">
      <c r="A21" s="162"/>
      <c r="B21" s="162"/>
      <c r="C21" s="162"/>
      <c r="D21" s="162"/>
      <c r="E21" s="162"/>
      <c r="F21" s="162"/>
      <c r="G21" s="162"/>
      <c r="H21" s="162"/>
    </row>
    <row r="22" spans="1:8" x14ac:dyDescent="0.2">
      <c r="A22" s="162"/>
      <c r="B22" s="162"/>
      <c r="C22" s="162"/>
      <c r="D22" s="162"/>
      <c r="E22" s="162"/>
      <c r="F22" s="162"/>
      <c r="G22" s="162"/>
      <c r="H22" s="1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32" sqref="A32"/>
    </sheetView>
  </sheetViews>
  <sheetFormatPr defaultRowHeight="12.75" x14ac:dyDescent="0.2"/>
  <cols>
    <col min="1" max="1" width="32" style="335" customWidth="1"/>
    <col min="2" max="16384" width="9.140625" style="335"/>
  </cols>
  <sheetData>
    <row r="1" spans="1:13" x14ac:dyDescent="0.2">
      <c r="A1" s="840">
        <v>1</v>
      </c>
      <c r="B1" s="840">
        <v>2</v>
      </c>
      <c r="C1" s="840">
        <v>3</v>
      </c>
      <c r="D1" s="840">
        <v>4</v>
      </c>
      <c r="E1" s="840">
        <v>5</v>
      </c>
      <c r="F1" s="840">
        <v>6</v>
      </c>
      <c r="G1" s="840">
        <v>7</v>
      </c>
      <c r="H1" s="840">
        <v>8</v>
      </c>
      <c r="I1" s="840">
        <v>9</v>
      </c>
      <c r="J1" s="840">
        <v>10</v>
      </c>
      <c r="K1" s="840">
        <v>11</v>
      </c>
      <c r="L1" s="840">
        <v>12</v>
      </c>
      <c r="M1" s="840">
        <v>13</v>
      </c>
    </row>
    <row r="2" spans="1:13" x14ac:dyDescent="0.2">
      <c r="B2" s="840" t="s">
        <v>227</v>
      </c>
      <c r="C2" s="840" t="s">
        <v>189</v>
      </c>
      <c r="D2" s="840" t="s">
        <v>228</v>
      </c>
      <c r="E2" s="840" t="s">
        <v>190</v>
      </c>
      <c r="F2" s="840" t="s">
        <v>222</v>
      </c>
      <c r="G2" s="840" t="s">
        <v>223</v>
      </c>
      <c r="H2" s="840" t="s">
        <v>224</v>
      </c>
      <c r="I2" s="840" t="s">
        <v>229</v>
      </c>
      <c r="J2" s="840" t="s">
        <v>225</v>
      </c>
      <c r="K2" s="840" t="s">
        <v>859</v>
      </c>
      <c r="L2" s="840" t="s">
        <v>860</v>
      </c>
      <c r="M2" s="840" t="s">
        <v>574</v>
      </c>
    </row>
    <row r="3" spans="1:13" x14ac:dyDescent="0.2">
      <c r="A3" s="335" t="s">
        <v>5048</v>
      </c>
      <c r="B3" s="840" t="str">
        <f t="shared" ref="B3:M3" si="0">VLOOKUP(B$2,Tbl_Glob_Conversie,3,FALSE)</f>
        <v>kcal</v>
      </c>
      <c r="C3" s="840" t="str">
        <f t="shared" si="0"/>
        <v>gram</v>
      </c>
      <c r="D3" s="840" t="str">
        <f t="shared" si="0"/>
        <v>gram</v>
      </c>
      <c r="E3" s="840" t="str">
        <f t="shared" si="0"/>
        <v>gram</v>
      </c>
      <c r="F3" s="840" t="str">
        <f t="shared" si="0"/>
        <v>mmol</v>
      </c>
      <c r="G3" s="840" t="str">
        <f t="shared" si="0"/>
        <v>mmol</v>
      </c>
      <c r="H3" s="840" t="str">
        <f t="shared" si="0"/>
        <v>mmol</v>
      </c>
      <c r="I3" s="840" t="str">
        <f t="shared" si="0"/>
        <v>mmol</v>
      </c>
      <c r="J3" s="840" t="str">
        <f t="shared" si="0"/>
        <v>mmol</v>
      </c>
      <c r="K3" s="840" t="str">
        <f t="shared" si="0"/>
        <v>mmol</v>
      </c>
      <c r="L3" s="840" t="str">
        <f t="shared" si="0"/>
        <v>IE</v>
      </c>
      <c r="M3" s="840" t="str">
        <f t="shared" si="0"/>
        <v>mmol</v>
      </c>
    </row>
    <row r="5" spans="1:13" x14ac:dyDescent="0.2">
      <c r="A5" s="335" t="s">
        <v>162</v>
      </c>
      <c r="B5" s="335">
        <f t="shared" ref="B5:M14" si="1">VLOOKUP($A5,Tbl_Glob_BerVoeding,B$1,FALSE)</f>
        <v>0.68</v>
      </c>
      <c r="C5" s="335">
        <f t="shared" si="1"/>
        <v>0.01</v>
      </c>
      <c r="D5" s="335">
        <f t="shared" si="1"/>
        <v>7.0000000000000007E-2</v>
      </c>
      <c r="E5" s="335">
        <f t="shared" si="1"/>
        <v>0.04</v>
      </c>
      <c r="F5" s="335">
        <f t="shared" si="1"/>
        <v>8.6956000000000012E-3</v>
      </c>
      <c r="G5" s="335">
        <f t="shared" si="1"/>
        <v>1.2820500000000002E-2</v>
      </c>
      <c r="H5" s="335">
        <f t="shared" si="1"/>
        <v>7.4700000000000001E-3</v>
      </c>
      <c r="I5" s="335">
        <f t="shared" si="1"/>
        <v>4.8433499999999997E-3</v>
      </c>
      <c r="J5" s="335">
        <f t="shared" si="1"/>
        <v>1.23423E-3</v>
      </c>
      <c r="K5" s="335">
        <f t="shared" si="1"/>
        <v>1.7899999999999998E-5</v>
      </c>
      <c r="L5" s="335">
        <f t="shared" si="1"/>
        <v>0</v>
      </c>
      <c r="M5" s="335">
        <f t="shared" si="1"/>
        <v>1.212858E-2</v>
      </c>
    </row>
    <row r="6" spans="1:13" x14ac:dyDescent="0.2">
      <c r="A6" s="335" t="s">
        <v>864</v>
      </c>
      <c r="B6" s="335">
        <f t="shared" si="1"/>
        <v>0.8</v>
      </c>
      <c r="C6" s="335">
        <f t="shared" si="1"/>
        <v>2.6000000000000002E-2</v>
      </c>
      <c r="D6" s="335">
        <f t="shared" si="1"/>
        <v>8.4000000000000005E-2</v>
      </c>
      <c r="E6" s="335">
        <f t="shared" si="1"/>
        <v>3.9E-2</v>
      </c>
      <c r="F6" s="335">
        <f t="shared" si="1"/>
        <v>3.0434599999999999E-2</v>
      </c>
      <c r="G6" s="335">
        <f t="shared" si="1"/>
        <v>2.0512800000000001E-2</v>
      </c>
      <c r="H6" s="335">
        <f t="shared" si="1"/>
        <v>2.4899999999999999E-2</v>
      </c>
      <c r="I6" s="335">
        <f t="shared" si="1"/>
        <v>1.8081839999999998E-2</v>
      </c>
      <c r="J6" s="335">
        <f t="shared" si="1"/>
        <v>3.2912799999999997E-3</v>
      </c>
      <c r="K6" s="335">
        <f t="shared" si="1"/>
        <v>2.8639999999999997E-4</v>
      </c>
      <c r="L6" s="335">
        <f t="shared" si="1"/>
        <v>1.2</v>
      </c>
      <c r="M6" s="335">
        <f t="shared" si="1"/>
        <v>2.3975099999999999E-2</v>
      </c>
    </row>
    <row r="7" spans="1:13" x14ac:dyDescent="0.2">
      <c r="A7" s="335" t="s">
        <v>865</v>
      </c>
      <c r="B7" s="335">
        <f t="shared" si="1"/>
        <v>0.75</v>
      </c>
      <c r="C7" s="335">
        <f t="shared" si="1"/>
        <v>0.02</v>
      </c>
      <c r="D7" s="335">
        <f t="shared" si="1"/>
        <v>7.4999999999999997E-2</v>
      </c>
      <c r="E7" s="335">
        <f t="shared" si="1"/>
        <v>0.04</v>
      </c>
      <c r="F7" s="335">
        <f t="shared" si="1"/>
        <v>1.217384E-2</v>
      </c>
      <c r="G7" s="335">
        <f t="shared" si="1"/>
        <v>1.9743570000000002E-2</v>
      </c>
      <c r="H7" s="335">
        <f t="shared" si="1"/>
        <v>2.1662999999999998E-2</v>
      </c>
      <c r="I7" s="335">
        <f t="shared" si="1"/>
        <v>1.517583E-2</v>
      </c>
      <c r="J7" s="335">
        <f t="shared" si="1"/>
        <v>2.8798700000000001E-3</v>
      </c>
      <c r="K7" s="335">
        <f t="shared" si="1"/>
        <v>2.1479999999999999E-4</v>
      </c>
      <c r="L7" s="335">
        <f t="shared" si="1"/>
        <v>0.68</v>
      </c>
      <c r="M7" s="335">
        <f t="shared" si="1"/>
        <v>1.5513299999999999E-2</v>
      </c>
    </row>
    <row r="8" spans="1:13" x14ac:dyDescent="0.2">
      <c r="A8" s="335" t="s">
        <v>577</v>
      </c>
      <c r="B8" s="335">
        <f t="shared" si="1"/>
        <v>0.66</v>
      </c>
      <c r="C8" s="335">
        <f t="shared" si="1"/>
        <v>1.3000000000000001E-2</v>
      </c>
      <c r="D8" s="335">
        <f t="shared" si="1"/>
        <v>7.2999999999999995E-2</v>
      </c>
      <c r="E8" s="335">
        <f t="shared" si="1"/>
        <v>3.4000000000000002E-2</v>
      </c>
      <c r="F8" s="335">
        <f t="shared" si="1"/>
        <v>7.3912600000000002E-3</v>
      </c>
      <c r="G8" s="335">
        <f t="shared" si="1"/>
        <v>1.7435880000000001E-2</v>
      </c>
      <c r="H8" s="335">
        <f t="shared" si="1"/>
        <v>1.4193000000000001E-2</v>
      </c>
      <c r="I8" s="335">
        <f t="shared" si="1"/>
        <v>1.033248E-2</v>
      </c>
      <c r="J8" s="335">
        <f t="shared" si="1"/>
        <v>2.0981909999999997E-3</v>
      </c>
      <c r="K8" s="335">
        <f t="shared" si="1"/>
        <v>6.981E-4</v>
      </c>
      <c r="L8" s="335">
        <f t="shared" si="1"/>
        <v>3.48</v>
      </c>
      <c r="M8" s="335">
        <f t="shared" si="1"/>
        <v>1.1846520000000001E-2</v>
      </c>
    </row>
    <row r="9" spans="1:13" x14ac:dyDescent="0.2">
      <c r="A9" s="335" t="s">
        <v>929</v>
      </c>
      <c r="B9" s="335">
        <f t="shared" si="1"/>
        <v>0.68</v>
      </c>
      <c r="C9" s="335">
        <f t="shared" si="1"/>
        <v>1.3999999999999999E-2</v>
      </c>
      <c r="D9" s="335">
        <f t="shared" si="1"/>
        <v>8.5999999999999993E-2</v>
      </c>
      <c r="E9" s="335">
        <f t="shared" si="1"/>
        <v>0.03</v>
      </c>
      <c r="F9" s="335">
        <f t="shared" si="1"/>
        <v>9.9999400000000006E-3</v>
      </c>
      <c r="G9" s="335">
        <f t="shared" si="1"/>
        <v>1.8974339999999999E-2</v>
      </c>
      <c r="H9" s="335">
        <f t="shared" si="1"/>
        <v>1.6184999999999998E-2</v>
      </c>
      <c r="I9" s="335">
        <f t="shared" si="1"/>
        <v>1.162404E-2</v>
      </c>
      <c r="J9" s="335">
        <f t="shared" si="1"/>
        <v>1.974768E-3</v>
      </c>
      <c r="K9" s="335">
        <f t="shared" si="1"/>
        <v>1.253E-3</v>
      </c>
      <c r="L9" s="335">
        <f t="shared" si="1"/>
        <v>0.56000000000000005</v>
      </c>
      <c r="M9" s="335">
        <f t="shared" si="1"/>
        <v>1.3256820000000001E-2</v>
      </c>
    </row>
    <row r="10" spans="1:13" x14ac:dyDescent="0.2">
      <c r="A10" s="335" t="s">
        <v>930</v>
      </c>
      <c r="B10" s="335">
        <f t="shared" si="1"/>
        <v>0.68</v>
      </c>
      <c r="C10" s="335">
        <f t="shared" si="1"/>
        <v>0.01</v>
      </c>
      <c r="D10" s="335">
        <f t="shared" si="1"/>
        <v>7.0000000000000007E-2</v>
      </c>
      <c r="E10" s="335">
        <f t="shared" si="1"/>
        <v>0.04</v>
      </c>
      <c r="F10" s="335">
        <f t="shared" si="1"/>
        <v>8.6956000000000012E-3</v>
      </c>
      <c r="G10" s="335">
        <f t="shared" si="1"/>
        <v>1.2820500000000002E-2</v>
      </c>
      <c r="H10" s="335">
        <f t="shared" si="1"/>
        <v>7.4700000000000001E-3</v>
      </c>
      <c r="I10" s="335">
        <f t="shared" si="1"/>
        <v>4.8433499999999997E-3</v>
      </c>
      <c r="J10" s="335">
        <f t="shared" si="1"/>
        <v>1.23423E-3</v>
      </c>
      <c r="K10" s="335">
        <f t="shared" si="1"/>
        <v>1.7899999999999998E-5</v>
      </c>
      <c r="L10" s="335">
        <f t="shared" si="1"/>
        <v>0</v>
      </c>
      <c r="M10" s="335">
        <f t="shared" si="1"/>
        <v>1.212858E-2</v>
      </c>
    </row>
    <row r="11" spans="1:13" x14ac:dyDescent="0.2">
      <c r="A11" s="335" t="s">
        <v>931</v>
      </c>
      <c r="B11" s="335">
        <f t="shared" si="1"/>
        <v>0.68</v>
      </c>
      <c r="C11" s="335">
        <f t="shared" si="1"/>
        <v>0.01</v>
      </c>
      <c r="D11" s="335">
        <f t="shared" si="1"/>
        <v>7.0000000000000007E-2</v>
      </c>
      <c r="E11" s="335">
        <f t="shared" si="1"/>
        <v>0.04</v>
      </c>
      <c r="F11" s="335">
        <f t="shared" si="1"/>
        <v>8.6956000000000012E-3</v>
      </c>
      <c r="G11" s="335">
        <f t="shared" si="1"/>
        <v>1.2820500000000002E-2</v>
      </c>
      <c r="H11" s="335">
        <f t="shared" si="1"/>
        <v>7.4700000000000001E-3</v>
      </c>
      <c r="I11" s="335">
        <f t="shared" si="1"/>
        <v>4.8433499999999997E-3</v>
      </c>
      <c r="J11" s="335">
        <f t="shared" si="1"/>
        <v>1.23423E-3</v>
      </c>
      <c r="K11" s="335">
        <f t="shared" si="1"/>
        <v>1.7899999999999998E-5</v>
      </c>
      <c r="L11" s="335">
        <f t="shared" si="1"/>
        <v>0</v>
      </c>
      <c r="M11" s="335">
        <f t="shared" si="1"/>
        <v>1.212858E-2</v>
      </c>
    </row>
    <row r="12" spans="1:13" x14ac:dyDescent="0.2">
      <c r="A12" s="335" t="s">
        <v>932</v>
      </c>
      <c r="B12" s="335">
        <f t="shared" si="1"/>
        <v>0.68</v>
      </c>
      <c r="C12" s="335">
        <f t="shared" si="1"/>
        <v>0.01</v>
      </c>
      <c r="D12" s="335">
        <f t="shared" si="1"/>
        <v>7.0000000000000007E-2</v>
      </c>
      <c r="E12" s="335">
        <f t="shared" si="1"/>
        <v>0.04</v>
      </c>
      <c r="F12" s="335">
        <f t="shared" si="1"/>
        <v>8.6956000000000012E-3</v>
      </c>
      <c r="G12" s="335">
        <f t="shared" si="1"/>
        <v>1.2820500000000002E-2</v>
      </c>
      <c r="H12" s="335">
        <f t="shared" si="1"/>
        <v>7.4700000000000001E-3</v>
      </c>
      <c r="I12" s="335">
        <f t="shared" si="1"/>
        <v>4.8433499999999997E-3</v>
      </c>
      <c r="J12" s="335">
        <f t="shared" si="1"/>
        <v>1.23423E-3</v>
      </c>
      <c r="K12" s="335">
        <f t="shared" si="1"/>
        <v>1.7899999999999998E-5</v>
      </c>
      <c r="L12" s="335">
        <f t="shared" si="1"/>
        <v>0</v>
      </c>
      <c r="M12" s="335">
        <f t="shared" si="1"/>
        <v>1.212858E-2</v>
      </c>
    </row>
    <row r="13" spans="1:13" x14ac:dyDescent="0.2">
      <c r="A13" s="335" t="s">
        <v>933</v>
      </c>
      <c r="B13" s="335">
        <f t="shared" si="1"/>
        <v>0.68</v>
      </c>
      <c r="C13" s="335">
        <f t="shared" si="1"/>
        <v>0.01</v>
      </c>
      <c r="D13" s="335">
        <f t="shared" si="1"/>
        <v>7.0000000000000007E-2</v>
      </c>
      <c r="E13" s="335">
        <f t="shared" si="1"/>
        <v>0.04</v>
      </c>
      <c r="F13" s="335">
        <f t="shared" si="1"/>
        <v>8.6956000000000012E-3</v>
      </c>
      <c r="G13" s="335">
        <f t="shared" si="1"/>
        <v>1.2820500000000002E-2</v>
      </c>
      <c r="H13" s="335">
        <f t="shared" si="1"/>
        <v>7.4700000000000001E-3</v>
      </c>
      <c r="I13" s="335">
        <f t="shared" si="1"/>
        <v>4.8433499999999997E-3</v>
      </c>
      <c r="J13" s="335">
        <f t="shared" si="1"/>
        <v>1.23423E-3</v>
      </c>
      <c r="K13" s="335">
        <f t="shared" si="1"/>
        <v>1.7899999999999998E-5</v>
      </c>
      <c r="L13" s="335">
        <f t="shared" si="1"/>
        <v>0</v>
      </c>
      <c r="M13" s="335">
        <f t="shared" si="1"/>
        <v>1.212858E-2</v>
      </c>
    </row>
    <row r="14" spans="1:13" x14ac:dyDescent="0.2">
      <c r="A14" s="335" t="s">
        <v>934</v>
      </c>
      <c r="B14" s="335">
        <f t="shared" si="1"/>
        <v>0.68</v>
      </c>
      <c r="C14" s="335">
        <f t="shared" si="1"/>
        <v>0.01</v>
      </c>
      <c r="D14" s="335">
        <f t="shared" si="1"/>
        <v>7.0000000000000007E-2</v>
      </c>
      <c r="E14" s="335">
        <f t="shared" si="1"/>
        <v>0.04</v>
      </c>
      <c r="F14" s="335">
        <f t="shared" si="1"/>
        <v>8.6956000000000012E-3</v>
      </c>
      <c r="G14" s="335">
        <f t="shared" si="1"/>
        <v>1.2820500000000002E-2</v>
      </c>
      <c r="H14" s="335">
        <f t="shared" si="1"/>
        <v>7.4700000000000001E-3</v>
      </c>
      <c r="I14" s="335">
        <f t="shared" si="1"/>
        <v>4.8433499999999997E-3</v>
      </c>
      <c r="J14" s="335">
        <f t="shared" si="1"/>
        <v>1.23423E-3</v>
      </c>
      <c r="K14" s="335">
        <f t="shared" si="1"/>
        <v>1.7899999999999998E-5</v>
      </c>
      <c r="L14" s="335">
        <f t="shared" si="1"/>
        <v>0</v>
      </c>
      <c r="M14" s="335">
        <f t="shared" si="1"/>
        <v>1.212858E-2</v>
      </c>
    </row>
    <row r="15" spans="1:13" x14ac:dyDescent="0.2">
      <c r="A15" s="335" t="s">
        <v>935</v>
      </c>
      <c r="B15" s="335">
        <f t="shared" ref="B15:M20" si="2">VLOOKUP($A15,Tbl_Glob_BerVoeding,B$1,FALSE)</f>
        <v>0.68</v>
      </c>
      <c r="C15" s="335">
        <f t="shared" si="2"/>
        <v>0.01</v>
      </c>
      <c r="D15" s="335">
        <f t="shared" si="2"/>
        <v>7.0000000000000007E-2</v>
      </c>
      <c r="E15" s="335">
        <f t="shared" si="2"/>
        <v>0.04</v>
      </c>
      <c r="F15" s="335">
        <f t="shared" si="2"/>
        <v>8.6956000000000012E-3</v>
      </c>
      <c r="G15" s="335">
        <f t="shared" si="2"/>
        <v>1.2820500000000002E-2</v>
      </c>
      <c r="H15" s="335">
        <f t="shared" si="2"/>
        <v>7.4700000000000001E-3</v>
      </c>
      <c r="I15" s="335">
        <f t="shared" si="2"/>
        <v>4.8433499999999997E-3</v>
      </c>
      <c r="J15" s="335">
        <f t="shared" si="2"/>
        <v>1.23423E-3</v>
      </c>
      <c r="K15" s="335">
        <f t="shared" si="2"/>
        <v>1.7899999999999998E-5</v>
      </c>
      <c r="L15" s="335">
        <f t="shared" si="2"/>
        <v>0</v>
      </c>
      <c r="M15" s="335">
        <f t="shared" si="2"/>
        <v>1.212858E-2</v>
      </c>
    </row>
    <row r="16" spans="1:13" x14ac:dyDescent="0.2">
      <c r="A16" s="335" t="s">
        <v>866</v>
      </c>
      <c r="B16" s="335">
        <f t="shared" si="2"/>
        <v>0.66</v>
      </c>
      <c r="C16" s="335">
        <f t="shared" si="2"/>
        <v>1.4999999999999999E-2</v>
      </c>
      <c r="D16" s="335">
        <f t="shared" si="2"/>
        <v>7.2000000000000008E-2</v>
      </c>
      <c r="E16" s="335">
        <f t="shared" si="2"/>
        <v>3.4000000000000002E-2</v>
      </c>
      <c r="F16" s="335">
        <f t="shared" si="2"/>
        <v>1.0869500000000001E-2</v>
      </c>
      <c r="G16" s="335">
        <f t="shared" si="2"/>
        <v>1.8717930000000001E-2</v>
      </c>
      <c r="H16" s="335">
        <f t="shared" si="2"/>
        <v>1.1453999999999999E-2</v>
      </c>
      <c r="I16" s="335">
        <f t="shared" si="2"/>
        <v>8.3951400000000006E-3</v>
      </c>
      <c r="J16" s="335">
        <f t="shared" si="2"/>
        <v>2.0981909999999997E-3</v>
      </c>
      <c r="K16" s="335">
        <f t="shared" si="2"/>
        <v>9.4870000000000005E-5</v>
      </c>
      <c r="L16" s="335">
        <f t="shared" si="2"/>
        <v>0.48</v>
      </c>
      <c r="M16" s="335">
        <f t="shared" si="2"/>
        <v>1.1564459999999999E-2</v>
      </c>
    </row>
    <row r="17" spans="1:13" x14ac:dyDescent="0.2">
      <c r="A17" s="335" t="s">
        <v>938</v>
      </c>
      <c r="B17" s="335">
        <f t="shared" si="2"/>
        <v>0.66299999999999992</v>
      </c>
      <c r="C17" s="335">
        <f t="shared" si="2"/>
        <v>1.4999999999999999E-2</v>
      </c>
      <c r="D17" s="335">
        <f t="shared" si="2"/>
        <v>7.0000000000000007E-2</v>
      </c>
      <c r="E17" s="335">
        <f t="shared" si="2"/>
        <v>3.6000000000000004E-2</v>
      </c>
      <c r="F17" s="335">
        <f t="shared" si="2"/>
        <v>8.826034E-3</v>
      </c>
      <c r="G17" s="335">
        <f t="shared" si="2"/>
        <v>1.7179470000000002E-2</v>
      </c>
      <c r="H17" s="335">
        <f t="shared" si="2"/>
        <v>1.3271699999999999E-2</v>
      </c>
      <c r="I17" s="335">
        <f t="shared" si="2"/>
        <v>9.4283879999999994E-3</v>
      </c>
      <c r="J17" s="335">
        <f t="shared" si="2"/>
        <v>3.2912799999999994E-5</v>
      </c>
      <c r="K17" s="335">
        <f t="shared" si="2"/>
        <v>9.1290000000000002E-5</v>
      </c>
      <c r="L17" s="335">
        <f t="shared" si="2"/>
        <v>0.76</v>
      </c>
      <c r="M17" s="335">
        <f t="shared" si="2"/>
        <v>1.12824E-2</v>
      </c>
    </row>
    <row r="18" spans="1:13" x14ac:dyDescent="0.2">
      <c r="A18" s="335" t="s">
        <v>867</v>
      </c>
      <c r="B18" s="335">
        <f t="shared" si="2"/>
        <v>0.67</v>
      </c>
      <c r="C18" s="335">
        <f t="shared" si="2"/>
        <v>1.8000000000000002E-2</v>
      </c>
      <c r="D18" s="335">
        <f t="shared" si="2"/>
        <v>7.2000000000000008E-2</v>
      </c>
      <c r="E18" s="335">
        <f t="shared" si="2"/>
        <v>3.4000000000000002E-2</v>
      </c>
      <c r="F18" s="335">
        <f t="shared" si="2"/>
        <v>1.1347758000000001E-2</v>
      </c>
      <c r="G18" s="335">
        <f t="shared" si="2"/>
        <v>1.8589725000000001E-2</v>
      </c>
      <c r="H18" s="335">
        <f t="shared" si="2"/>
        <v>1.6334399999999999E-2</v>
      </c>
      <c r="I18" s="335">
        <f t="shared" si="2"/>
        <v>1.5208118999999999E-2</v>
      </c>
      <c r="J18" s="335">
        <f t="shared" si="2"/>
        <v>2.8798700000000001E-3</v>
      </c>
      <c r="K18" s="335">
        <f t="shared" si="2"/>
        <v>1.7899999999999999E-4</v>
      </c>
      <c r="L18" s="335">
        <f t="shared" si="2"/>
        <v>0.48</v>
      </c>
      <c r="M18" s="335">
        <f t="shared" si="2"/>
        <v>1.5033797999999998E-2</v>
      </c>
    </row>
    <row r="19" spans="1:13" x14ac:dyDescent="0.2">
      <c r="A19" s="335" t="s">
        <v>941</v>
      </c>
      <c r="B19" s="335">
        <f t="shared" si="2"/>
        <v>0.67</v>
      </c>
      <c r="C19" s="335">
        <f t="shared" si="2"/>
        <v>1.6E-2</v>
      </c>
      <c r="D19" s="335">
        <f t="shared" si="2"/>
        <v>7.0000000000000007E-2</v>
      </c>
      <c r="E19" s="335">
        <f t="shared" si="2"/>
        <v>3.5000000000000003E-2</v>
      </c>
      <c r="F19" s="335">
        <f t="shared" si="2"/>
        <v>8.6956000000000012E-3</v>
      </c>
      <c r="G19" s="335">
        <f t="shared" si="2"/>
        <v>2.076921E-2</v>
      </c>
      <c r="H19" s="335">
        <f t="shared" si="2"/>
        <v>1.1702999999999998E-2</v>
      </c>
      <c r="I19" s="335">
        <f t="shared" si="2"/>
        <v>8.3951400000000006E-3</v>
      </c>
      <c r="J19" s="335">
        <f t="shared" si="2"/>
        <v>2.1804729999999996E-3</v>
      </c>
      <c r="K19" s="335">
        <f t="shared" si="2"/>
        <v>9.4870000000000005E-5</v>
      </c>
      <c r="L19" s="335">
        <f t="shared" si="2"/>
        <v>0.52</v>
      </c>
      <c r="M19" s="335">
        <f t="shared" si="2"/>
        <v>1.12824E-2</v>
      </c>
    </row>
    <row r="20" spans="1:13" x14ac:dyDescent="0.2">
      <c r="A20" s="335" t="s">
        <v>869</v>
      </c>
      <c r="B20" s="335">
        <f t="shared" si="2"/>
        <v>0.66</v>
      </c>
      <c r="C20" s="335">
        <f t="shared" si="2"/>
        <v>1.3999999999999999E-2</v>
      </c>
      <c r="D20" s="335">
        <f t="shared" si="2"/>
        <v>7.2000000000000008E-2</v>
      </c>
      <c r="E20" s="335">
        <f t="shared" si="2"/>
        <v>3.5000000000000003E-2</v>
      </c>
      <c r="F20" s="335">
        <f t="shared" si="2"/>
        <v>8.6956000000000012E-3</v>
      </c>
      <c r="G20" s="335">
        <f t="shared" si="2"/>
        <v>1.6666650000000002E-2</v>
      </c>
      <c r="H20" s="335">
        <f t="shared" si="2"/>
        <v>1.2449999999999999E-2</v>
      </c>
      <c r="I20" s="335">
        <f t="shared" si="2"/>
        <v>9.6866999999999995E-3</v>
      </c>
      <c r="J20" s="335">
        <f t="shared" si="2"/>
        <v>2.46846E-3</v>
      </c>
      <c r="K20" s="335">
        <f t="shared" si="2"/>
        <v>1.3961999999999999E-4</v>
      </c>
      <c r="L20" s="335">
        <f t="shared" si="2"/>
        <v>0.48</v>
      </c>
      <c r="M20" s="335">
        <f t="shared" si="2"/>
        <v>1.1846520000000001E-2</v>
      </c>
    </row>
    <row r="22" spans="1:13" x14ac:dyDescent="0.2">
      <c r="A22" s="335" t="s">
        <v>5049</v>
      </c>
    </row>
    <row r="24" spans="1:13" x14ac:dyDescent="0.2">
      <c r="A24" s="456" t="s">
        <v>580</v>
      </c>
      <c r="B24" s="335">
        <f t="shared" ref="B24:M30" si="3">VLOOKUP($A24,Tbl_Glob_BerPoeder,B$1,FALSE)</f>
        <v>3.47</v>
      </c>
      <c r="C24" s="335">
        <f t="shared" si="3"/>
        <v>0.252</v>
      </c>
      <c r="D24" s="335">
        <f t="shared" si="3"/>
        <v>0.622</v>
      </c>
      <c r="E24" s="335">
        <f t="shared" si="3"/>
        <v>0</v>
      </c>
      <c r="F24" s="335">
        <f t="shared" si="3"/>
        <v>0.34912834000000004</v>
      </c>
      <c r="G24" s="335">
        <f t="shared" si="3"/>
        <v>0.13538448</v>
      </c>
      <c r="H24" s="335">
        <f t="shared" si="3"/>
        <v>0.37125899999999995</v>
      </c>
      <c r="I24" s="335">
        <f t="shared" si="3"/>
        <v>0.28156007999999999</v>
      </c>
      <c r="J24" s="335">
        <f t="shared" si="3"/>
        <v>4.7312149999999997E-2</v>
      </c>
      <c r="K24" s="335">
        <f t="shared" si="3"/>
        <v>0</v>
      </c>
      <c r="L24" s="335">
        <f t="shared" si="3"/>
        <v>46</v>
      </c>
      <c r="M24" s="335">
        <f t="shared" si="3"/>
        <v>0.16162037999999998</v>
      </c>
    </row>
    <row r="25" spans="1:13" x14ac:dyDescent="0.2">
      <c r="A25" s="456" t="s">
        <v>524</v>
      </c>
      <c r="B25" s="335">
        <f t="shared" si="3"/>
        <v>3.84</v>
      </c>
      <c r="C25" s="335">
        <f t="shared" si="3"/>
        <v>0</v>
      </c>
      <c r="D25" s="335">
        <f t="shared" si="3"/>
        <v>0.96</v>
      </c>
      <c r="E25" s="335">
        <f t="shared" si="3"/>
        <v>0</v>
      </c>
      <c r="F25" s="335">
        <f t="shared" si="3"/>
        <v>8.6956000000000002E-4</v>
      </c>
      <c r="G25" s="335">
        <f t="shared" si="3"/>
        <v>0</v>
      </c>
      <c r="H25" s="335">
        <f t="shared" si="3"/>
        <v>0</v>
      </c>
      <c r="I25" s="335">
        <f t="shared" si="3"/>
        <v>0</v>
      </c>
      <c r="J25" s="335">
        <f t="shared" si="3"/>
        <v>0</v>
      </c>
      <c r="K25" s="335">
        <f t="shared" si="3"/>
        <v>0</v>
      </c>
      <c r="L25" s="335">
        <f t="shared" si="3"/>
        <v>0</v>
      </c>
      <c r="M25" s="335">
        <f t="shared" si="3"/>
        <v>0</v>
      </c>
    </row>
    <row r="26" spans="1:13" x14ac:dyDescent="0.2">
      <c r="A26" s="456" t="s">
        <v>960</v>
      </c>
      <c r="B26" s="335">
        <f t="shared" si="3"/>
        <v>4.84</v>
      </c>
      <c r="C26" s="335">
        <f t="shared" si="3"/>
        <v>9.6999999999999989E-2</v>
      </c>
      <c r="D26" s="335">
        <f t="shared" si="3"/>
        <v>0.53799999999999992</v>
      </c>
      <c r="E26" s="335">
        <f t="shared" si="3"/>
        <v>0.247</v>
      </c>
      <c r="F26" s="335">
        <f t="shared" si="3"/>
        <v>5.43475E-2</v>
      </c>
      <c r="G26" s="335">
        <f t="shared" si="3"/>
        <v>0.12846141</v>
      </c>
      <c r="H26" s="335">
        <f t="shared" si="3"/>
        <v>0.10408199999999999</v>
      </c>
      <c r="I26" s="335">
        <f t="shared" si="3"/>
        <v>7.6524929999999991E-2</v>
      </c>
      <c r="J26" s="335">
        <f t="shared" si="3"/>
        <v>1.522217E-2</v>
      </c>
      <c r="K26" s="335">
        <f t="shared" si="3"/>
        <v>6.981E-4</v>
      </c>
      <c r="L26" s="335">
        <f t="shared" si="3"/>
        <v>3.48</v>
      </c>
      <c r="M26" s="335">
        <f t="shared" si="3"/>
        <v>8.5746240000000001E-2</v>
      </c>
    </row>
    <row r="27" spans="1:13" x14ac:dyDescent="0.2">
      <c r="A27" s="456" t="s">
        <v>878</v>
      </c>
      <c r="B27" s="335">
        <f t="shared" si="3"/>
        <v>4.74</v>
      </c>
      <c r="C27" s="335">
        <f t="shared" si="3"/>
        <v>0.156</v>
      </c>
      <c r="D27" s="335">
        <f t="shared" si="3"/>
        <v>0.22899999999999998</v>
      </c>
      <c r="E27" s="335">
        <f t="shared" si="3"/>
        <v>0.498</v>
      </c>
      <c r="F27" s="335">
        <f t="shared" si="3"/>
        <v>0.1804337</v>
      </c>
      <c r="G27" s="335">
        <f t="shared" si="3"/>
        <v>0.12153833999999999</v>
      </c>
      <c r="H27" s="335">
        <f t="shared" si="3"/>
        <v>0.14765699999999998</v>
      </c>
      <c r="I27" s="335">
        <f t="shared" si="3"/>
        <v>0.10719947999999999</v>
      </c>
      <c r="J27" s="335">
        <f t="shared" si="3"/>
        <v>1.9336269999999999E-2</v>
      </c>
      <c r="K27" s="335">
        <f t="shared" si="3"/>
        <v>1.7004999999999998E-3</v>
      </c>
      <c r="L27" s="335">
        <f t="shared" si="3"/>
        <v>7.2</v>
      </c>
      <c r="M27" s="335">
        <f t="shared" si="3"/>
        <v>0.14215823999999999</v>
      </c>
    </row>
    <row r="28" spans="1:13" x14ac:dyDescent="0.2">
      <c r="A28" s="456" t="s">
        <v>879</v>
      </c>
      <c r="B28" s="335">
        <f t="shared" si="3"/>
        <v>3.38</v>
      </c>
      <c r="C28" s="335">
        <f t="shared" si="3"/>
        <v>0.82099999999999995</v>
      </c>
      <c r="D28" s="335">
        <f t="shared" si="3"/>
        <v>2.2000000000000002E-2</v>
      </c>
      <c r="E28" s="335">
        <f t="shared" si="3"/>
        <v>1E-3</v>
      </c>
      <c r="F28" s="335">
        <f t="shared" si="3"/>
        <v>0.33738928000000001</v>
      </c>
      <c r="G28" s="335">
        <f t="shared" si="3"/>
        <v>0.31435866000000001</v>
      </c>
      <c r="H28" s="335">
        <f t="shared" si="3"/>
        <v>0.13047599999999998</v>
      </c>
      <c r="I28" s="335">
        <f t="shared" si="3"/>
        <v>0.16661123999999997</v>
      </c>
      <c r="J28" s="335">
        <f t="shared" si="3"/>
        <v>1.8924859999999998E-2</v>
      </c>
      <c r="K28" s="335">
        <f t="shared" si="3"/>
        <v>0</v>
      </c>
      <c r="L28" s="335">
        <f t="shared" si="3"/>
        <v>0</v>
      </c>
      <c r="M28" s="335">
        <f t="shared" si="3"/>
        <v>1.8615959999999997E-2</v>
      </c>
    </row>
    <row r="29" spans="1:13" x14ac:dyDescent="0.2">
      <c r="A29" s="456" t="s">
        <v>880</v>
      </c>
      <c r="B29" s="335">
        <f t="shared" si="3"/>
        <v>4.5</v>
      </c>
      <c r="C29" s="335">
        <f t="shared" si="3"/>
        <v>0</v>
      </c>
      <c r="D29" s="335">
        <f t="shared" si="3"/>
        <v>0</v>
      </c>
      <c r="E29" s="335">
        <f t="shared" si="3"/>
        <v>0.5</v>
      </c>
      <c r="F29" s="335">
        <f t="shared" si="3"/>
        <v>3.04346E-3</v>
      </c>
      <c r="G29" s="335">
        <f t="shared" si="3"/>
        <v>0</v>
      </c>
      <c r="H29" s="335">
        <f t="shared" si="3"/>
        <v>0</v>
      </c>
      <c r="I29" s="335">
        <f t="shared" si="3"/>
        <v>0</v>
      </c>
      <c r="J29" s="335">
        <f t="shared" si="3"/>
        <v>0</v>
      </c>
      <c r="K29" s="335">
        <f t="shared" si="3"/>
        <v>0</v>
      </c>
      <c r="L29" s="335">
        <f t="shared" si="3"/>
        <v>0</v>
      </c>
      <c r="M29" s="335">
        <f t="shared" si="3"/>
        <v>2.8206000000000001E-5</v>
      </c>
    </row>
    <row r="30" spans="1:13" x14ac:dyDescent="0.2">
      <c r="A30" s="456" t="s">
        <v>937</v>
      </c>
      <c r="B30" s="335">
        <f t="shared" si="3"/>
        <v>3.18</v>
      </c>
      <c r="C30" s="335">
        <f t="shared" si="3"/>
        <v>0</v>
      </c>
      <c r="D30" s="335">
        <f t="shared" si="3"/>
        <v>0.66200000000000003</v>
      </c>
      <c r="E30" s="335">
        <f t="shared" si="3"/>
        <v>3.0000000000000001E-3</v>
      </c>
      <c r="F30" s="335">
        <f t="shared" si="3"/>
        <v>2.6086799999999999E-3</v>
      </c>
      <c r="G30" s="335">
        <f t="shared" si="3"/>
        <v>2.3333310000000003E-2</v>
      </c>
      <c r="H30" s="335">
        <f t="shared" si="3"/>
        <v>8.3415000000000003E-2</v>
      </c>
      <c r="I30" s="335">
        <f t="shared" si="3"/>
        <v>3.8746799999999997E-3</v>
      </c>
      <c r="J30" s="335">
        <f t="shared" si="3"/>
        <v>3.7438309999999995E-3</v>
      </c>
      <c r="K30" s="335">
        <f t="shared" si="3"/>
        <v>1.5751999999999999E-3</v>
      </c>
      <c r="L30" s="335">
        <f t="shared" si="3"/>
        <v>0</v>
      </c>
      <c r="M30" s="335">
        <f t="shared" si="3"/>
        <v>3.0744539999999997E-2</v>
      </c>
    </row>
    <row r="32" spans="1:13" x14ac:dyDescent="0.2">
      <c r="A32" s="335" t="s">
        <v>5051</v>
      </c>
    </row>
    <row r="34" spans="1:13" x14ac:dyDescent="0.2">
      <c r="A34" s="456" t="s">
        <v>880</v>
      </c>
      <c r="B34" s="335">
        <f t="shared" ref="B34:M37" si="4">VLOOKUP($A34,Tbl_Glob_BerPoeder,B$1,FALSE)</f>
        <v>4.5</v>
      </c>
      <c r="C34" s="335">
        <f t="shared" si="4"/>
        <v>0</v>
      </c>
      <c r="D34" s="335">
        <f t="shared" si="4"/>
        <v>0</v>
      </c>
      <c r="E34" s="335">
        <f t="shared" si="4"/>
        <v>0.5</v>
      </c>
      <c r="F34" s="335">
        <f t="shared" si="4"/>
        <v>3.04346E-3</v>
      </c>
      <c r="G34" s="335">
        <f t="shared" si="4"/>
        <v>0</v>
      </c>
      <c r="H34" s="335">
        <f t="shared" si="4"/>
        <v>0</v>
      </c>
      <c r="I34" s="335">
        <f t="shared" si="4"/>
        <v>0</v>
      </c>
      <c r="J34" s="335">
        <f t="shared" si="4"/>
        <v>0</v>
      </c>
      <c r="K34" s="335">
        <f t="shared" si="4"/>
        <v>0</v>
      </c>
      <c r="L34" s="335">
        <f t="shared" si="4"/>
        <v>0</v>
      </c>
      <c r="M34" s="335">
        <f t="shared" si="4"/>
        <v>2.8206000000000001E-5</v>
      </c>
    </row>
    <row r="35" spans="1:13" x14ac:dyDescent="0.2">
      <c r="A35" s="456" t="s">
        <v>524</v>
      </c>
      <c r="B35" s="335">
        <f t="shared" si="4"/>
        <v>3.84</v>
      </c>
      <c r="C35" s="335">
        <f t="shared" si="4"/>
        <v>0</v>
      </c>
      <c r="D35" s="335">
        <f t="shared" si="4"/>
        <v>0.96</v>
      </c>
      <c r="E35" s="335">
        <f t="shared" si="4"/>
        <v>0</v>
      </c>
      <c r="F35" s="335">
        <f t="shared" si="4"/>
        <v>8.6956000000000002E-4</v>
      </c>
      <c r="G35" s="335">
        <f t="shared" si="4"/>
        <v>0</v>
      </c>
      <c r="H35" s="335">
        <f t="shared" si="4"/>
        <v>0</v>
      </c>
      <c r="I35" s="335">
        <f t="shared" si="4"/>
        <v>0</v>
      </c>
      <c r="J35" s="335">
        <f t="shared" si="4"/>
        <v>0</v>
      </c>
      <c r="K35" s="335">
        <f t="shared" si="4"/>
        <v>0</v>
      </c>
      <c r="L35" s="335">
        <f t="shared" si="4"/>
        <v>0</v>
      </c>
      <c r="M35" s="335">
        <f t="shared" si="4"/>
        <v>0</v>
      </c>
    </row>
    <row r="36" spans="1:13" x14ac:dyDescent="0.2">
      <c r="A36" s="456" t="s">
        <v>878</v>
      </c>
      <c r="B36" s="335">
        <f t="shared" si="4"/>
        <v>4.74</v>
      </c>
      <c r="C36" s="335">
        <f t="shared" si="4"/>
        <v>0.156</v>
      </c>
      <c r="D36" s="335">
        <f t="shared" si="4"/>
        <v>0.22899999999999998</v>
      </c>
      <c r="E36" s="335">
        <f t="shared" si="4"/>
        <v>0.498</v>
      </c>
      <c r="F36" s="335">
        <f t="shared" si="4"/>
        <v>0.1804337</v>
      </c>
      <c r="G36" s="335">
        <f t="shared" si="4"/>
        <v>0.12153833999999999</v>
      </c>
      <c r="H36" s="335">
        <f t="shared" si="4"/>
        <v>0.14765699999999998</v>
      </c>
      <c r="I36" s="335">
        <f t="shared" si="4"/>
        <v>0.10719947999999999</v>
      </c>
      <c r="J36" s="335">
        <f t="shared" si="4"/>
        <v>1.9336269999999999E-2</v>
      </c>
      <c r="K36" s="335">
        <f t="shared" si="4"/>
        <v>1.7004999999999998E-3</v>
      </c>
      <c r="L36" s="335">
        <f t="shared" si="4"/>
        <v>7.2</v>
      </c>
      <c r="M36" s="335">
        <f t="shared" si="4"/>
        <v>0.14215823999999999</v>
      </c>
    </row>
    <row r="37" spans="1:13" x14ac:dyDescent="0.2">
      <c r="A37" s="456" t="s">
        <v>937</v>
      </c>
      <c r="B37" s="335">
        <f t="shared" si="4"/>
        <v>3.18</v>
      </c>
      <c r="C37" s="335">
        <f t="shared" si="4"/>
        <v>0</v>
      </c>
      <c r="D37" s="335">
        <f t="shared" si="4"/>
        <v>0.66200000000000003</v>
      </c>
      <c r="E37" s="335">
        <f t="shared" si="4"/>
        <v>3.0000000000000001E-3</v>
      </c>
      <c r="F37" s="335">
        <f t="shared" si="4"/>
        <v>2.6086799999999999E-3</v>
      </c>
      <c r="G37" s="335">
        <f t="shared" si="4"/>
        <v>2.3333310000000003E-2</v>
      </c>
      <c r="H37" s="335">
        <f t="shared" si="4"/>
        <v>8.3415000000000003E-2</v>
      </c>
      <c r="I37" s="335">
        <f t="shared" si="4"/>
        <v>3.8746799999999997E-3</v>
      </c>
      <c r="J37" s="335">
        <f t="shared" si="4"/>
        <v>3.7438309999999995E-3</v>
      </c>
      <c r="K37" s="335">
        <f t="shared" si="4"/>
        <v>1.5751999999999999E-3</v>
      </c>
      <c r="L37" s="335">
        <f t="shared" si="4"/>
        <v>0</v>
      </c>
      <c r="M37" s="335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C12" sqref="C12"/>
    </sheetView>
  </sheetViews>
  <sheetFormatPr defaultColWidth="9.140625" defaultRowHeight="12.75" x14ac:dyDescent="0.2"/>
  <cols>
    <col min="1" max="1" width="19.140625" style="457" customWidth="1"/>
    <col min="2" max="2" width="9.140625" style="457"/>
    <col min="3" max="3" width="14.5703125" style="457" customWidth="1"/>
    <col min="4" max="4" width="15.28515625" style="457" customWidth="1"/>
    <col min="5" max="5" width="9.140625" style="457"/>
    <col min="6" max="6" width="23" style="457" bestFit="1" customWidth="1"/>
    <col min="7" max="16384" width="9.140625" style="457"/>
  </cols>
  <sheetData>
    <row r="1" spans="1:6" s="970" customFormat="1" ht="25.5" x14ac:dyDescent="0.2">
      <c r="A1" s="970" t="s">
        <v>5362</v>
      </c>
      <c r="C1" s="970" t="s">
        <v>845</v>
      </c>
      <c r="D1" s="970" t="s">
        <v>846</v>
      </c>
    </row>
    <row r="2" spans="1:6" x14ac:dyDescent="0.2">
      <c r="F2" s="457" t="s">
        <v>555</v>
      </c>
    </row>
    <row r="3" spans="1:6" x14ac:dyDescent="0.2">
      <c r="A3" s="457" t="s">
        <v>575</v>
      </c>
      <c r="B3" s="968"/>
      <c r="C3" s="457">
        <v>2.2000000000000002</v>
      </c>
      <c r="D3" s="457">
        <v>0.5</v>
      </c>
      <c r="F3" s="457" t="s">
        <v>1003</v>
      </c>
    </row>
    <row r="4" spans="1:6" x14ac:dyDescent="0.2">
      <c r="A4" s="457" t="s">
        <v>578</v>
      </c>
      <c r="B4" s="968"/>
      <c r="C4" s="457">
        <v>4.4000000000000004</v>
      </c>
      <c r="D4" s="457">
        <v>1</v>
      </c>
    </row>
    <row r="5" spans="1:6" x14ac:dyDescent="0.2">
      <c r="A5" s="457" t="s">
        <v>579</v>
      </c>
      <c r="B5" s="968"/>
      <c r="D5" s="457">
        <v>1.5</v>
      </c>
    </row>
    <row r="6" spans="1:6" x14ac:dyDescent="0.2">
      <c r="A6" s="457" t="s">
        <v>581</v>
      </c>
      <c r="B6" s="968"/>
      <c r="D6" s="457">
        <v>2</v>
      </c>
    </row>
    <row r="7" spans="1:6" x14ac:dyDescent="0.2">
      <c r="A7" s="457" t="s">
        <v>582</v>
      </c>
      <c r="B7" s="968"/>
      <c r="D7" s="457">
        <v>2.5</v>
      </c>
    </row>
    <row r="8" spans="1:6" x14ac:dyDescent="0.2">
      <c r="A8" s="457" t="s">
        <v>583</v>
      </c>
      <c r="B8" s="968"/>
      <c r="D8" s="457">
        <v>3</v>
      </c>
    </row>
    <row r="9" spans="1:6" x14ac:dyDescent="0.2">
      <c r="A9" s="457" t="s">
        <v>584</v>
      </c>
      <c r="B9" s="968"/>
      <c r="D9" s="457">
        <v>3.5</v>
      </c>
    </row>
    <row r="10" spans="1:6" x14ac:dyDescent="0.2">
      <c r="A10" s="457" t="s">
        <v>585</v>
      </c>
      <c r="B10" s="968"/>
      <c r="D10" s="457">
        <v>4</v>
      </c>
    </row>
    <row r="11" spans="1:6" x14ac:dyDescent="0.2">
      <c r="A11" s="457" t="s">
        <v>586</v>
      </c>
      <c r="B11" s="968"/>
      <c r="D11" s="457">
        <v>4.5</v>
      </c>
    </row>
    <row r="12" spans="1:6" x14ac:dyDescent="0.2">
      <c r="A12" s="457" t="s">
        <v>587</v>
      </c>
      <c r="B12" s="968"/>
      <c r="D12" s="457">
        <v>5</v>
      </c>
    </row>
    <row r="13" spans="1:6" x14ac:dyDescent="0.2">
      <c r="A13" s="457" t="s">
        <v>302</v>
      </c>
      <c r="B13" s="968"/>
    </row>
    <row r="14" spans="1:6" x14ac:dyDescent="0.2">
      <c r="A14" s="457" t="s">
        <v>588</v>
      </c>
      <c r="B14" s="968"/>
    </row>
    <row r="15" spans="1:6" x14ac:dyDescent="0.2">
      <c r="A15" s="457" t="s">
        <v>55</v>
      </c>
      <c r="B15" s="968"/>
    </row>
    <row r="16" spans="1:6" x14ac:dyDescent="0.2">
      <c r="A16" s="457" t="s">
        <v>328</v>
      </c>
      <c r="B16" s="968"/>
    </row>
    <row r="17" spans="1:2" x14ac:dyDescent="0.2">
      <c r="A17" s="457" t="s">
        <v>710</v>
      </c>
      <c r="B17" s="968"/>
    </row>
    <row r="18" spans="1:2" x14ac:dyDescent="0.2">
      <c r="B18" s="968"/>
    </row>
    <row r="39" spans="2:2" x14ac:dyDescent="0.2">
      <c r="B39" s="969"/>
    </row>
    <row r="52" spans="2:2" x14ac:dyDescent="0.2">
      <c r="B52" s="965"/>
    </row>
    <row r="53" spans="2:2" x14ac:dyDescent="0.2">
      <c r="B53" s="965"/>
    </row>
    <row r="54" spans="2:2" x14ac:dyDescent="0.2">
      <c r="B54" s="965"/>
    </row>
    <row r="55" spans="2:2" x14ac:dyDescent="0.2">
      <c r="B55" s="965"/>
    </row>
    <row r="56" spans="2:2" x14ac:dyDescent="0.2">
      <c r="B56" s="965"/>
    </row>
    <row r="57" spans="2:2" x14ac:dyDescent="0.2">
      <c r="B57" s="965"/>
    </row>
    <row r="65" spans="1:2" x14ac:dyDescent="0.2">
      <c r="B65" s="969"/>
    </row>
    <row r="67" spans="1:2" x14ac:dyDescent="0.2">
      <c r="B67" s="965"/>
    </row>
    <row r="68" spans="1:2" x14ac:dyDescent="0.2">
      <c r="B68" s="965"/>
    </row>
    <row r="69" spans="1:2" x14ac:dyDescent="0.2">
      <c r="B69" s="966"/>
    </row>
    <row r="70" spans="1:2" x14ac:dyDescent="0.2">
      <c r="B70" s="966"/>
    </row>
    <row r="71" spans="1:2" x14ac:dyDescent="0.2">
      <c r="B71" s="966"/>
    </row>
    <row r="72" spans="1:2" x14ac:dyDescent="0.2">
      <c r="B72" s="966"/>
    </row>
    <row r="73" spans="1:2" x14ac:dyDescent="0.2">
      <c r="B73" s="965"/>
    </row>
    <row r="74" spans="1:2" x14ac:dyDescent="0.2">
      <c r="A74" s="967"/>
      <c r="B74" s="965"/>
    </row>
    <row r="75" spans="1:2" x14ac:dyDescent="0.2">
      <c r="A75" s="967"/>
      <c r="B75" s="965"/>
    </row>
    <row r="76" spans="1:2" x14ac:dyDescent="0.2">
      <c r="A76" s="148"/>
      <c r="B76" s="965"/>
    </row>
    <row r="77" spans="1:2" x14ac:dyDescent="0.2">
      <c r="A77" s="967"/>
    </row>
    <row r="78" spans="1:2" x14ac:dyDescent="0.2">
      <c r="A78" s="967"/>
    </row>
    <row r="79" spans="1:2" x14ac:dyDescent="0.2">
      <c r="A79" s="967"/>
    </row>
    <row r="80" spans="1:2" x14ac:dyDescent="0.2">
      <c r="A80" s="967"/>
      <c r="B80" s="965"/>
    </row>
    <row r="81" spans="1:2" x14ac:dyDescent="0.2">
      <c r="A81" s="148"/>
      <c r="B81" s="965"/>
    </row>
    <row r="82" spans="1:2" x14ac:dyDescent="0.2">
      <c r="A82" s="148"/>
      <c r="B82" s="965"/>
    </row>
    <row r="83" spans="1:2" x14ac:dyDescent="0.2">
      <c r="A83" s="967"/>
      <c r="B83" s="966"/>
    </row>
    <row r="84" spans="1:2" x14ac:dyDescent="0.2">
      <c r="A84" s="967"/>
      <c r="B84" s="966"/>
    </row>
    <row r="85" spans="1:2" x14ac:dyDescent="0.2">
      <c r="A85" s="967"/>
      <c r="B85" s="966"/>
    </row>
    <row r="86" spans="1:2" x14ac:dyDescent="0.2">
      <c r="A86" s="967"/>
      <c r="B86" s="965"/>
    </row>
    <row r="87" spans="1:2" x14ac:dyDescent="0.2">
      <c r="A87" s="967"/>
      <c r="B87" s="965"/>
    </row>
    <row r="88" spans="1:2" x14ac:dyDescent="0.2">
      <c r="A88" s="967"/>
      <c r="B88" s="965"/>
    </row>
    <row r="89" spans="1:2" x14ac:dyDescent="0.2">
      <c r="A89" s="967"/>
    </row>
    <row r="90" spans="1:2" x14ac:dyDescent="0.2">
      <c r="A90" s="967"/>
    </row>
    <row r="91" spans="1:2" x14ac:dyDescent="0.2">
      <c r="A91" s="967"/>
    </row>
    <row r="92" spans="1:2" x14ac:dyDescent="0.2">
      <c r="A92" s="967"/>
    </row>
    <row r="93" spans="1:2" x14ac:dyDescent="0.2">
      <c r="A93" s="967"/>
    </row>
    <row r="94" spans="1:2" x14ac:dyDescent="0.2">
      <c r="A94" s="967"/>
    </row>
    <row r="95" spans="1:2" x14ac:dyDescent="0.2">
      <c r="A95" s="967"/>
    </row>
    <row r="96" spans="1:2" x14ac:dyDescent="0.2">
      <c r="A96" s="967"/>
    </row>
    <row r="97" spans="1:1" x14ac:dyDescent="0.2">
      <c r="A97" s="967"/>
    </row>
    <row r="98" spans="1:1" x14ac:dyDescent="0.2">
      <c r="A98" s="967"/>
    </row>
    <row r="99" spans="1:1" x14ac:dyDescent="0.2">
      <c r="A99" s="967"/>
    </row>
    <row r="100" spans="1:1" x14ac:dyDescent="0.2">
      <c r="A100" s="967"/>
    </row>
    <row r="101" spans="1:1" x14ac:dyDescent="0.2">
      <c r="A101" s="967"/>
    </row>
    <row r="102" spans="1:1" x14ac:dyDescent="0.2">
      <c r="A102" s="967"/>
    </row>
    <row r="103" spans="1:1" x14ac:dyDescent="0.2">
      <c r="A103" s="967"/>
    </row>
    <row r="104" spans="1:1" x14ac:dyDescent="0.2">
      <c r="A104" s="967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11" customWidth="1"/>
    <col min="2" max="2" width="6" style="311" customWidth="1"/>
    <col min="3" max="3" width="26.42578125" style="311" customWidth="1"/>
    <col min="4" max="4" width="4.5703125" style="311" customWidth="1"/>
    <col min="5" max="5" width="9.140625" style="311"/>
    <col min="6" max="6" width="4.28515625" style="311" customWidth="1"/>
    <col min="7" max="7" width="11.7109375" style="311" customWidth="1"/>
    <col min="8" max="23" width="2.7109375" style="13" customWidth="1"/>
    <col min="24" max="33" width="2.7109375" style="311" customWidth="1"/>
    <col min="34" max="16384" width="9.140625" style="311"/>
  </cols>
  <sheetData>
    <row r="1" spans="1:33" ht="19.5" customHeight="1" thickBot="1" x14ac:dyDescent="0.25">
      <c r="A1" s="352"/>
      <c r="B1" s="311" t="str">
        <f>"Naam: "&amp;__2_AchterNaam&amp;", "&amp;__3_VoorNaam</f>
        <v xml:space="preserve">Naam: , </v>
      </c>
      <c r="D1" s="311" t="str">
        <f>"Geboortedatum: "</f>
        <v xml:space="preserve">Geboortedatum: </v>
      </c>
      <c r="F1" s="904">
        <f>__4_GebDatum</f>
        <v>1462</v>
      </c>
      <c r="G1" s="904"/>
      <c r="I1" s="6" t="str">
        <f>"Gewicht: "&amp;ROUND(_Pat_Gewicht/10,1)&amp;"kg"</f>
        <v>Gewicht: 0kg</v>
      </c>
      <c r="P1" s="6" t="s">
        <v>180</v>
      </c>
      <c r="R1" s="902"/>
      <c r="S1" s="902"/>
      <c r="T1" s="902"/>
      <c r="U1" s="902"/>
      <c r="V1" s="902"/>
      <c r="W1" s="902"/>
      <c r="Y1" s="311" t="s">
        <v>297</v>
      </c>
      <c r="AB1" s="903">
        <f ca="1">TODAY()</f>
        <v>42751</v>
      </c>
      <c r="AC1" s="903"/>
      <c r="AD1" s="903"/>
      <c r="AE1" s="903"/>
      <c r="AF1" s="903"/>
    </row>
    <row r="2" spans="1:33" ht="26.1" customHeight="1" x14ac:dyDescent="0.2">
      <c r="B2" s="86"/>
      <c r="C2" s="87" t="s">
        <v>324</v>
      </c>
      <c r="D2" s="88" t="s">
        <v>325</v>
      </c>
      <c r="E2" s="88"/>
      <c r="F2" s="88"/>
      <c r="G2" s="89" t="s">
        <v>304</v>
      </c>
      <c r="H2" s="90">
        <v>9</v>
      </c>
      <c r="I2" s="90">
        <v>10</v>
      </c>
      <c r="J2" s="90">
        <v>11</v>
      </c>
      <c r="K2" s="90">
        <v>12</v>
      </c>
      <c r="L2" s="90">
        <v>13</v>
      </c>
      <c r="M2" s="90">
        <v>14</v>
      </c>
      <c r="N2" s="90">
        <v>15</v>
      </c>
      <c r="O2" s="90">
        <v>16</v>
      </c>
      <c r="P2" s="90">
        <v>17</v>
      </c>
      <c r="Q2" s="90">
        <v>18</v>
      </c>
      <c r="R2" s="90">
        <v>19</v>
      </c>
      <c r="S2" s="90">
        <v>20</v>
      </c>
      <c r="T2" s="90">
        <v>21</v>
      </c>
      <c r="U2" s="90">
        <v>22</v>
      </c>
      <c r="V2" s="90">
        <v>23</v>
      </c>
      <c r="W2" s="90">
        <v>24</v>
      </c>
      <c r="X2" s="90">
        <v>1</v>
      </c>
      <c r="Y2" s="90">
        <v>2</v>
      </c>
      <c r="Z2" s="90">
        <v>3</v>
      </c>
      <c r="AA2" s="90">
        <v>4</v>
      </c>
      <c r="AB2" s="90">
        <v>5</v>
      </c>
      <c r="AC2" s="90">
        <v>6</v>
      </c>
      <c r="AD2" s="90">
        <v>7</v>
      </c>
      <c r="AE2" s="90">
        <v>8</v>
      </c>
      <c r="AF2" s="92"/>
      <c r="AG2" s="92"/>
    </row>
    <row r="3" spans="1:33" ht="26.1" customHeight="1" x14ac:dyDescent="0.2">
      <c r="B3" s="94"/>
      <c r="C3" s="125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26" t="str">
        <f>IF(GlobGuiMedDisc!I9&lt;&gt;"",GlobGuiMedDisc!I9,"")</f>
        <v/>
      </c>
      <c r="E3" s="127" t="str">
        <f>IF(AND(D3&lt;&gt;"",D3&lt;&gt;"STOP"),GlobBerMedDisc!H2&amp;" "&amp;GlobBerMedDisc!F2,"")</f>
        <v/>
      </c>
      <c r="F3" s="127" t="str">
        <f>IF(AND(D3&lt;&gt;"",D3&lt;&gt;"STOP"),GlobBerMedDisc!L2," ")</f>
        <v xml:space="preserve"> </v>
      </c>
      <c r="G3" s="127" t="str">
        <f>IF(GlobGuiMedDisc!N9&lt;&gt;"",GlobGuiMedDisc!N9&amp;" "&amp;GlobGuiMedDisc!O9&amp;" "&amp;INDEX(GlobBerMedDisc!$B$27:$B$30,GlobBerMedDisc!O2,1)&amp;" in "&amp;GlobGuiMedDisc!$R$9,"")</f>
        <v/>
      </c>
      <c r="H3" s="93" t="str">
        <f>IF(OR($D3="1 dd",$D3="2 dd",$D3="3 dd",$D3="4 dd",$D3="5 dd",$D3="6 dd",$D3="8 dd",$D3="12 dd",$D3="24 dd",$D3="an",$D3="zn"),VLOOKUP($D3,NeoTblTijden!$A$17:$Y$27,NeoTblTijden!B$15,FALSE),"")</f>
        <v/>
      </c>
      <c r="I3" s="374" t="str">
        <f>IF(OR($D3="1 dd",$D3="2 dd",$D3="3 dd",$D3="4 dd",$D3="5 dd",$D3="6 dd",$D3="8 dd",$D3="12 dd",$D3="24 dd",$D3="an",$D3="zn"),VLOOKUP($D3,NeoTblTijden!$A$17:$Y$27,NeoTblTijden!C$15,FALSE),"")</f>
        <v/>
      </c>
      <c r="J3" s="93" t="str">
        <f>IF(OR($D3="1 dd",$D3="2 dd",$D3="3 dd",$D3="4 dd",$D3="5 dd",$D3="6 dd",$D3="8 dd",$D3="12 dd",$D3="24 dd",$D3="an",$D3="zn"),VLOOKUP($D3,NeoTblTijden!$A$17:$Y$27,NeoTblTijden!D$15,FALSE),"")</f>
        <v/>
      </c>
      <c r="K3" s="374" t="str">
        <f>IF(OR($D3="1 dd",$D3="2 dd",$D3="3 dd",$D3="4 dd",$D3="5 dd",$D3="6 dd",$D3="8 dd",$D3="12 dd",$D3="24 dd",$D3="an",$D3="zn"),VLOOKUP($D3,NeoTblTijden!$A$17:$Y$27,NeoTblTijden!E$15,FALSE),"")</f>
        <v/>
      </c>
      <c r="L3" s="93" t="str">
        <f>IF(OR($D3="1 dd",$D3="2 dd",$D3="3 dd",$D3="4 dd",$D3="5 dd",$D3="6 dd",$D3="8 dd",$D3="12 dd",$D3="24 dd",$D3="an",$D3="zn"),VLOOKUP($D3,NeoTblTijden!$A$17:$Y$27,NeoTblTijden!F$15,FALSE),"")</f>
        <v/>
      </c>
      <c r="M3" s="374" t="str">
        <f>IF(OR($D3="1 dd",$D3="2 dd",$D3="3 dd",$D3="4 dd",$D3="5 dd",$D3="6 dd",$D3="8 dd",$D3="12 dd",$D3="24 dd",$D3="an",$D3="zn"),VLOOKUP($D3,NeoTblTijden!$A$17:$Y$27,NeoTblTijden!G$15,FALSE),"")</f>
        <v/>
      </c>
      <c r="N3" s="93" t="str">
        <f>IF(OR($D3="1 dd",$D3="2 dd",$D3="3 dd",$D3="4 dd",$D3="5 dd",$D3="6 dd",$D3="8 dd",$D3="12 dd",$D3="24 dd",$D3="an",$D3="zn"),VLOOKUP($D3,NeoTblTijden!$A$17:$Y$27,NeoTblTijden!H$15,FALSE),"")</f>
        <v/>
      </c>
      <c r="O3" s="374" t="str">
        <f>IF(OR($D3="1 dd",$D3="2 dd",$D3="3 dd",$D3="4 dd",$D3="5 dd",$D3="6 dd",$D3="8 dd",$D3="12 dd",$D3="24 dd",$D3="an",$D3="zn"),VLOOKUP($D3,NeoTblTijden!$A$17:$Y$27,NeoTblTijden!I$15,FALSE),"")</f>
        <v/>
      </c>
      <c r="P3" s="93" t="str">
        <f>IF(OR($D3="1 dd",$D3="2 dd",$D3="3 dd",$D3="4 dd",$D3="5 dd",$D3="6 dd",$D3="8 dd",$D3="12 dd",$D3="24 dd",$D3="an",$D3="zn"),VLOOKUP($D3,NeoTblTijden!$A$17:$Y$27,NeoTblTijden!J$15,FALSE),"")</f>
        <v/>
      </c>
      <c r="Q3" s="374" t="str">
        <f>IF(OR($D3="1 dd",$D3="2 dd",$D3="3 dd",$D3="4 dd",$D3="5 dd",$D3="6 dd",$D3="8 dd",$D3="12 dd",$D3="24 dd",$D3="an",$D3="zn"),VLOOKUP($D3,NeoTblTijden!$A$17:$Y$27,NeoTblTijden!K$15,FALSE),"")</f>
        <v/>
      </c>
      <c r="R3" s="93" t="str">
        <f>IF(OR($D3="1 dd",$D3="2 dd",$D3="3 dd",$D3="4 dd",$D3="5 dd",$D3="6 dd",$D3="8 dd",$D3="12 dd",$D3="24 dd",$D3="an",$D3="zn"),VLOOKUP($D3,NeoTblTijden!$A$17:$Y$27,NeoTblTijden!L$15,FALSE),"")</f>
        <v/>
      </c>
      <c r="S3" s="374" t="str">
        <f>IF(OR($D3="1 dd",$D3="2 dd",$D3="3 dd",$D3="4 dd",$D3="5 dd",$D3="6 dd",$D3="8 dd",$D3="12 dd",$D3="24 dd",$D3="an",$D3="zn"),VLOOKUP($D3,NeoTblTijden!$A$17:$Y$27,NeoTblTijden!M$15,FALSE),"")</f>
        <v/>
      </c>
      <c r="T3" s="93" t="str">
        <f>IF(OR($D3="1 dd",$D3="2 dd",$D3="3 dd",$D3="4 dd",$D3="5 dd",$D3="6 dd",$D3="8 dd",$D3="12 dd",$D3="24 dd",$D3="an",$D3="zn"),VLOOKUP($D3,NeoTblTijden!$A$17:$Y$27,NeoTblTijden!N$15,FALSE),"")</f>
        <v/>
      </c>
      <c r="U3" s="374" t="str">
        <f>IF(OR($D3="1 dd",$D3="2 dd",$D3="3 dd",$D3="4 dd",$D3="5 dd",$D3="6 dd",$D3="8 dd",$D3="12 dd",$D3="24 dd",$D3="an",$D3="zn"),VLOOKUP($D3,NeoTblTijden!$A$17:$Y$27,NeoTblTijden!O$15,FALSE),"")</f>
        <v/>
      </c>
      <c r="V3" s="93" t="str">
        <f>IF(OR($D3="1 dd",$D3="2 dd",$D3="3 dd",$D3="4 dd",$D3="5 dd",$D3="6 dd",$D3="8 dd",$D3="12 dd",$D3="24 dd",$D3="an",$D3="zn"),VLOOKUP($D3,NeoTblTijden!$A$17:$Y$27,NeoTblTijden!P$15,FALSE),"")</f>
        <v/>
      </c>
      <c r="W3" s="374" t="str">
        <f>IF(OR($D3="1 dd",$D3="2 dd",$D3="3 dd",$D3="4 dd",$D3="5 dd",$D3="6 dd",$D3="8 dd",$D3="12 dd",$D3="24 dd",$D3="an",$D3="zn"),VLOOKUP($D3,NeoTblTijden!$A$17:$Y$27,NeoTblTijden!Q$15,FALSE),"")</f>
        <v/>
      </c>
      <c r="X3" s="93" t="str">
        <f>IF(OR($D3="1 dd",$D3="2 dd",$D3="3 dd",$D3="4 dd",$D3="5 dd",$D3="6 dd",$D3="8 dd",$D3="12 dd",$D3="24 dd",$D3="an",$D3="zn"),VLOOKUP($D3,NeoTblTijden!$A$17:$Y$27,NeoTblTijden!R$15,FALSE),"")</f>
        <v/>
      </c>
      <c r="Y3" s="374" t="str">
        <f>IF(OR($D3="1 dd",$D3="2 dd",$D3="3 dd",$D3="4 dd",$D3="5 dd",$D3="6 dd",$D3="8 dd",$D3="12 dd",$D3="24 dd",$D3="an",$D3="zn"),VLOOKUP($D3,NeoTblTijden!$A$17:$Y$27,NeoTblTijden!S$15,FALSE),"")</f>
        <v/>
      </c>
      <c r="Z3" s="93" t="str">
        <f>IF(OR($D3="1 dd",$D3="2 dd",$D3="3 dd",$D3="4 dd",$D3="5 dd",$D3="6 dd",$D3="8 dd",$D3="12 dd",$D3="24 dd",$D3="an",$D3="zn"),VLOOKUP($D3,NeoTblTijden!$A$17:$Y$27,NeoTblTijden!T$15,FALSE),"")</f>
        <v/>
      </c>
      <c r="AA3" s="374" t="str">
        <f>IF(OR($D3="1 dd",$D3="2 dd",$D3="3 dd",$D3="4 dd",$D3="5 dd",$D3="6 dd",$D3="8 dd",$D3="12 dd",$D3="24 dd",$D3="an",$D3="zn"),VLOOKUP($D3,NeoTblTijden!$A$17:$Y$27,NeoTblTijden!U$15,FALSE),"")</f>
        <v/>
      </c>
      <c r="AB3" s="93" t="str">
        <f>IF(OR($D3="1 dd",$D3="2 dd",$D3="3 dd",$D3="4 dd",$D3="5 dd",$D3="6 dd",$D3="8 dd",$D3="12 dd",$D3="24 dd",$D3="an",$D3="zn"),VLOOKUP($D3,NeoTblTijden!$A$17:$Y$27,NeoTblTijden!V$15,FALSE),"")</f>
        <v/>
      </c>
      <c r="AC3" s="374" t="str">
        <f>IF(OR($D3="1 dd",$D3="2 dd",$D3="3 dd",$D3="4 dd",$D3="5 dd",$D3="6 dd",$D3="8 dd",$D3="12 dd",$D3="24 dd",$D3="an",$D3="zn"),VLOOKUP($D3,NeoTblTijden!$A$17:$Y$27,NeoTblTijden!W$15,FALSE),"")</f>
        <v/>
      </c>
      <c r="AD3" s="93" t="str">
        <f>IF(OR($D3="1 dd",$D3="2 dd",$D3="3 dd",$D3="4 dd",$D3="5 dd",$D3="6 dd",$D3="8 dd",$D3="12 dd",$D3="24 dd",$D3="an",$D3="zn"),VLOOKUP($D3,NeoTblTijden!$A$17:$Y$27,NeoTblTijden!X$15,FALSE),"")</f>
        <v/>
      </c>
      <c r="AE3" s="374" t="str">
        <f>IF(OR($D3="1 dd",$D3="2 dd",$D3="3 dd",$D3="4 dd",$D3="5 dd",$D3="6 dd",$D3="8 dd",$D3="12 dd",$D3="24 dd",$D3="an",$D3="zn"),VLOOKUP($D3,NeoTblTijden!$A$17:$Y$27,NeoTblTijden!Y$15,FALSE),"")</f>
        <v/>
      </c>
      <c r="AF3" s="92"/>
      <c r="AG3" s="14"/>
    </row>
    <row r="4" spans="1:33" ht="26.1" customHeight="1" x14ac:dyDescent="0.2">
      <c r="B4" s="94"/>
      <c r="C4" s="125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26" t="str">
        <f>IF(GlobGuiMedDisc!I10&lt;&gt;"",GlobGuiMedDisc!I10,"")</f>
        <v/>
      </c>
      <c r="E4" s="127" t="str">
        <f>IF(AND(D4&lt;&gt;"",D4&lt;&gt;"STOP"),GlobBerMedDisc!H3&amp;" "&amp;GlobBerMedDisc!F3,"")</f>
        <v/>
      </c>
      <c r="F4" s="127" t="str">
        <f>IF(AND(D4&lt;&gt;"",D4&lt;&gt;"STOP"),GlobBerMedDisc!L3," ")</f>
        <v xml:space="preserve"> </v>
      </c>
      <c r="G4" s="127" t="str">
        <f>IF(GlobGuiMedDisc!N10&lt;&gt;"",GlobGuiMedDisc!N10&amp;" "&amp;GlobGuiMedDisc!O10&amp;" "&amp;INDEX(GlobBerMedDisc!$B$27:$B$30,GlobBerMedDisc!O3,1)&amp;" in "&amp;GlobGuiMedDisc!$R$10,"")</f>
        <v/>
      </c>
      <c r="H4" s="93" t="str">
        <f>IF(OR($D4="1 dd",$D4="2 dd",$D4="3 dd",$D4="4 dd",$D4="5 dd",$D4="6 dd",$D4="8 dd",$D4="12 dd",$D4="24 dd",$D4="an",$D4="zn"),VLOOKUP($D4,NeoTblTijden!$A$17:$Y$27,NeoTblTijden!B$15,FALSE),"")</f>
        <v/>
      </c>
      <c r="I4" s="374" t="str">
        <f>IF(OR($D4="1 dd",$D4="2 dd",$D4="3 dd",$D4="4 dd",$D4="5 dd",$D4="6 dd",$D4="8 dd",$D4="12 dd",$D4="24 dd",$D4="an",$D4="zn"),VLOOKUP($D4,NeoTblTijden!$A$17:$Y$27,NeoTblTijden!C$15,FALSE),"")</f>
        <v/>
      </c>
      <c r="J4" s="93" t="str">
        <f>IF(OR($D4="1 dd",$D4="2 dd",$D4="3 dd",$D4="4 dd",$D4="5 dd",$D4="6 dd",$D4="8 dd",$D4="12 dd",$D4="24 dd",$D4="an",$D4="zn"),VLOOKUP($D4,NeoTblTijden!$A$17:$Y$27,NeoTblTijden!D$15,FALSE),"")</f>
        <v/>
      </c>
      <c r="K4" s="374" t="str">
        <f>IF(OR($D4="1 dd",$D4="2 dd",$D4="3 dd",$D4="4 dd",$D4="5 dd",$D4="6 dd",$D4="8 dd",$D4="12 dd",$D4="24 dd",$D4="an",$D4="zn"),VLOOKUP($D4,NeoTblTijden!$A$17:$Y$27,NeoTblTijden!E$15,FALSE),"")</f>
        <v/>
      </c>
      <c r="L4" s="93" t="str">
        <f>IF(OR($D4="1 dd",$D4="2 dd",$D4="3 dd",$D4="4 dd",$D4="5 dd",$D4="6 dd",$D4="8 dd",$D4="12 dd",$D4="24 dd",$D4="an",$D4="zn"),VLOOKUP($D4,NeoTblTijden!$A$17:$Y$27,NeoTblTijden!F$15,FALSE),"")</f>
        <v/>
      </c>
      <c r="M4" s="374" t="str">
        <f>IF(OR($D4="1 dd",$D4="2 dd",$D4="3 dd",$D4="4 dd",$D4="5 dd",$D4="6 dd",$D4="8 dd",$D4="12 dd",$D4="24 dd",$D4="an",$D4="zn"),VLOOKUP($D4,NeoTblTijden!$A$17:$Y$27,NeoTblTijden!G$15,FALSE),"")</f>
        <v/>
      </c>
      <c r="N4" s="93" t="str">
        <f>IF(OR($D4="1 dd",$D4="2 dd",$D4="3 dd",$D4="4 dd",$D4="5 dd",$D4="6 dd",$D4="8 dd",$D4="12 dd",$D4="24 dd",$D4="an",$D4="zn"),VLOOKUP($D4,NeoTblTijden!$A$17:$Y$27,NeoTblTijden!H$15,FALSE),"")</f>
        <v/>
      </c>
      <c r="O4" s="374" t="str">
        <f>IF(OR($D4="1 dd",$D4="2 dd",$D4="3 dd",$D4="4 dd",$D4="5 dd",$D4="6 dd",$D4="8 dd",$D4="12 dd",$D4="24 dd",$D4="an",$D4="zn"),VLOOKUP($D4,NeoTblTijden!$A$17:$Y$27,NeoTblTijden!I$15,FALSE),"")</f>
        <v/>
      </c>
      <c r="P4" s="93" t="str">
        <f>IF(OR($D4="1 dd",$D4="2 dd",$D4="3 dd",$D4="4 dd",$D4="5 dd",$D4="6 dd",$D4="8 dd",$D4="12 dd",$D4="24 dd",$D4="an",$D4="zn"),VLOOKUP($D4,NeoTblTijden!$A$17:$Y$27,NeoTblTijden!J$15,FALSE),"")</f>
        <v/>
      </c>
      <c r="Q4" s="374" t="str">
        <f>IF(OR($D4="1 dd",$D4="2 dd",$D4="3 dd",$D4="4 dd",$D4="5 dd",$D4="6 dd",$D4="8 dd",$D4="12 dd",$D4="24 dd",$D4="an",$D4="zn"),VLOOKUP($D4,NeoTblTijden!$A$17:$Y$27,NeoTblTijden!K$15,FALSE),"")</f>
        <v/>
      </c>
      <c r="R4" s="93" t="str">
        <f>IF(OR($D4="1 dd",$D4="2 dd",$D4="3 dd",$D4="4 dd",$D4="5 dd",$D4="6 dd",$D4="8 dd",$D4="12 dd",$D4="24 dd",$D4="an",$D4="zn"),VLOOKUP($D4,NeoTblTijden!$A$17:$Y$27,NeoTblTijden!L$15,FALSE),"")</f>
        <v/>
      </c>
      <c r="S4" s="374" t="str">
        <f>IF(OR($D4="1 dd",$D4="2 dd",$D4="3 dd",$D4="4 dd",$D4="5 dd",$D4="6 dd",$D4="8 dd",$D4="12 dd",$D4="24 dd",$D4="an",$D4="zn"),VLOOKUP($D4,NeoTblTijden!$A$17:$Y$27,NeoTblTijden!M$15,FALSE),"")</f>
        <v/>
      </c>
      <c r="T4" s="93" t="str">
        <f>IF(OR($D4="1 dd",$D4="2 dd",$D4="3 dd",$D4="4 dd",$D4="5 dd",$D4="6 dd",$D4="8 dd",$D4="12 dd",$D4="24 dd",$D4="an",$D4="zn"),VLOOKUP($D4,NeoTblTijden!$A$17:$Y$27,NeoTblTijden!N$15,FALSE),"")</f>
        <v/>
      </c>
      <c r="U4" s="374" t="str">
        <f>IF(OR($D4="1 dd",$D4="2 dd",$D4="3 dd",$D4="4 dd",$D4="5 dd",$D4="6 dd",$D4="8 dd",$D4="12 dd",$D4="24 dd",$D4="an",$D4="zn"),VLOOKUP($D4,NeoTblTijden!$A$17:$Y$27,NeoTblTijden!O$15,FALSE),"")</f>
        <v/>
      </c>
      <c r="V4" s="93" t="str">
        <f>IF(OR($D4="1 dd",$D4="2 dd",$D4="3 dd",$D4="4 dd",$D4="5 dd",$D4="6 dd",$D4="8 dd",$D4="12 dd",$D4="24 dd",$D4="an",$D4="zn"),VLOOKUP($D4,NeoTblTijden!$A$17:$Y$27,NeoTblTijden!P$15,FALSE),"")</f>
        <v/>
      </c>
      <c r="W4" s="374" t="str">
        <f>IF(OR($D4="1 dd",$D4="2 dd",$D4="3 dd",$D4="4 dd",$D4="5 dd",$D4="6 dd",$D4="8 dd",$D4="12 dd",$D4="24 dd",$D4="an",$D4="zn"),VLOOKUP($D4,NeoTblTijden!$A$17:$Y$27,NeoTblTijden!Q$15,FALSE),"")</f>
        <v/>
      </c>
      <c r="X4" s="93" t="str">
        <f>IF(OR($D4="1 dd",$D4="2 dd",$D4="3 dd",$D4="4 dd",$D4="5 dd",$D4="6 dd",$D4="8 dd",$D4="12 dd",$D4="24 dd",$D4="an",$D4="zn"),VLOOKUP($D4,NeoTblTijden!$A$17:$Y$27,NeoTblTijden!R$15,FALSE),"")</f>
        <v/>
      </c>
      <c r="Y4" s="374" t="str">
        <f>IF(OR($D4="1 dd",$D4="2 dd",$D4="3 dd",$D4="4 dd",$D4="5 dd",$D4="6 dd",$D4="8 dd",$D4="12 dd",$D4="24 dd",$D4="an",$D4="zn"),VLOOKUP($D4,NeoTblTijden!$A$17:$Y$27,NeoTblTijden!S$15,FALSE),"")</f>
        <v/>
      </c>
      <c r="Z4" s="93" t="str">
        <f>IF(OR($D4="1 dd",$D4="2 dd",$D4="3 dd",$D4="4 dd",$D4="5 dd",$D4="6 dd",$D4="8 dd",$D4="12 dd",$D4="24 dd",$D4="an",$D4="zn"),VLOOKUP($D4,NeoTblTijden!$A$17:$Y$27,NeoTblTijden!T$15,FALSE),"")</f>
        <v/>
      </c>
      <c r="AA4" s="374" t="str">
        <f>IF(OR($D4="1 dd",$D4="2 dd",$D4="3 dd",$D4="4 dd",$D4="5 dd",$D4="6 dd",$D4="8 dd",$D4="12 dd",$D4="24 dd",$D4="an",$D4="zn"),VLOOKUP($D4,NeoTblTijden!$A$17:$Y$27,NeoTblTijden!U$15,FALSE),"")</f>
        <v/>
      </c>
      <c r="AB4" s="93" t="str">
        <f>IF(OR($D4="1 dd",$D4="2 dd",$D4="3 dd",$D4="4 dd",$D4="5 dd",$D4="6 dd",$D4="8 dd",$D4="12 dd",$D4="24 dd",$D4="an",$D4="zn"),VLOOKUP($D4,NeoTblTijden!$A$17:$Y$27,NeoTblTijden!V$15,FALSE),"")</f>
        <v/>
      </c>
      <c r="AC4" s="374" t="str">
        <f>IF(OR($D4="1 dd",$D4="2 dd",$D4="3 dd",$D4="4 dd",$D4="5 dd",$D4="6 dd",$D4="8 dd",$D4="12 dd",$D4="24 dd",$D4="an",$D4="zn"),VLOOKUP($D4,NeoTblTijden!$A$17:$Y$27,NeoTblTijden!W$15,FALSE),"")</f>
        <v/>
      </c>
      <c r="AD4" s="93" t="str">
        <f>IF(OR($D4="1 dd",$D4="2 dd",$D4="3 dd",$D4="4 dd",$D4="5 dd",$D4="6 dd",$D4="8 dd",$D4="12 dd",$D4="24 dd",$D4="an",$D4="zn"),VLOOKUP($D4,NeoTblTijden!$A$17:$Y$27,NeoTblTijden!X$15,FALSE),"")</f>
        <v/>
      </c>
      <c r="AE4" s="374" t="str">
        <f>IF(OR($D4="1 dd",$D4="2 dd",$D4="3 dd",$D4="4 dd",$D4="5 dd",$D4="6 dd",$D4="8 dd",$D4="12 dd",$D4="24 dd",$D4="an",$D4="zn"),VLOOKUP($D4,NeoTblTijden!$A$17:$Y$27,NeoTblTijden!Y$15,FALSE),"")</f>
        <v/>
      </c>
      <c r="AF4" s="92"/>
      <c r="AG4" s="14"/>
    </row>
    <row r="5" spans="1:33" ht="26.1" customHeight="1" x14ac:dyDescent="0.2">
      <c r="B5" s="94"/>
      <c r="C5" s="125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26" t="str">
        <f>IF(GlobGuiMedDisc!I11&lt;&gt;"",GlobGuiMedDisc!I11,"")</f>
        <v/>
      </c>
      <c r="E5" s="127" t="str">
        <f>IF(AND(D5&lt;&gt;"",D5&lt;&gt;"STOP"),GlobBerMedDisc!H4&amp;" "&amp;GlobBerMedDisc!F4,"")</f>
        <v/>
      </c>
      <c r="F5" s="127" t="str">
        <f>IF(AND(D5&lt;&gt;"",D5&lt;&gt;"STOP"),GlobBerMedDisc!L4," ")</f>
        <v xml:space="preserve"> </v>
      </c>
      <c r="G5" s="127" t="str">
        <f>IF(GlobGuiMedDisc!N11&lt;&gt;"",GlobGuiMedDisc!N11&amp;" "&amp;GlobGuiMedDisc!O11&amp;" "&amp;INDEX(GlobBerMedDisc!$B$27:$B$30,GlobBerMedDisc!O4,1)&amp;" in "&amp;GlobGuiMedDisc!$R$11,"")</f>
        <v/>
      </c>
      <c r="H5" s="93" t="str">
        <f>IF(OR($D5="1 dd",$D5="2 dd",$D5="3 dd",$D5="4 dd",$D5="5 dd",$D5="6 dd",$D5="8 dd",$D5="12 dd",$D5="24 dd",$D5="an",$D5="zn"),VLOOKUP($D5,NeoTblTijden!$A$17:$Y$27,NeoTblTijden!B$15,FALSE),"")</f>
        <v/>
      </c>
      <c r="I5" s="374" t="str">
        <f>IF(OR($D5="1 dd",$D5="2 dd",$D5="3 dd",$D5="4 dd",$D5="5 dd",$D5="6 dd",$D5="8 dd",$D5="12 dd",$D5="24 dd",$D5="an",$D5="zn"),VLOOKUP($D5,NeoTblTijden!$A$17:$Y$27,NeoTblTijden!C$15,FALSE),"")</f>
        <v/>
      </c>
      <c r="J5" s="93" t="str">
        <f>IF(OR($D5="1 dd",$D5="2 dd",$D5="3 dd",$D5="4 dd",$D5="5 dd",$D5="6 dd",$D5="8 dd",$D5="12 dd",$D5="24 dd",$D5="an",$D5="zn"),VLOOKUP($D5,NeoTblTijden!$A$17:$Y$27,NeoTblTijden!D$15,FALSE),"")</f>
        <v/>
      </c>
      <c r="K5" s="374" t="str">
        <f>IF(OR($D5="1 dd",$D5="2 dd",$D5="3 dd",$D5="4 dd",$D5="5 dd",$D5="6 dd",$D5="8 dd",$D5="12 dd",$D5="24 dd",$D5="an",$D5="zn"),VLOOKUP($D5,NeoTblTijden!$A$17:$Y$27,NeoTblTijden!E$15,FALSE),"")</f>
        <v/>
      </c>
      <c r="L5" s="93" t="str">
        <f>IF(OR($D5="1 dd",$D5="2 dd",$D5="3 dd",$D5="4 dd",$D5="5 dd",$D5="6 dd",$D5="8 dd",$D5="12 dd",$D5="24 dd",$D5="an",$D5="zn"),VLOOKUP($D5,NeoTblTijden!$A$17:$Y$27,NeoTblTijden!F$15,FALSE),"")</f>
        <v/>
      </c>
      <c r="M5" s="374" t="str">
        <f>IF(OR($D5="1 dd",$D5="2 dd",$D5="3 dd",$D5="4 dd",$D5="5 dd",$D5="6 dd",$D5="8 dd",$D5="12 dd",$D5="24 dd",$D5="an",$D5="zn"),VLOOKUP($D5,NeoTblTijden!$A$17:$Y$27,NeoTblTijden!G$15,FALSE),"")</f>
        <v/>
      </c>
      <c r="N5" s="93" t="str">
        <f>IF(OR($D5="1 dd",$D5="2 dd",$D5="3 dd",$D5="4 dd",$D5="5 dd",$D5="6 dd",$D5="8 dd",$D5="12 dd",$D5="24 dd",$D5="an",$D5="zn"),VLOOKUP($D5,NeoTblTijden!$A$17:$Y$27,NeoTblTijden!H$15,FALSE),"")</f>
        <v/>
      </c>
      <c r="O5" s="374" t="str">
        <f>IF(OR($D5="1 dd",$D5="2 dd",$D5="3 dd",$D5="4 dd",$D5="5 dd",$D5="6 dd",$D5="8 dd",$D5="12 dd",$D5="24 dd",$D5="an",$D5="zn"),VLOOKUP($D5,NeoTblTijden!$A$17:$Y$27,NeoTblTijden!I$15,FALSE),"")</f>
        <v/>
      </c>
      <c r="P5" s="93" t="str">
        <f>IF(OR($D5="1 dd",$D5="2 dd",$D5="3 dd",$D5="4 dd",$D5="5 dd",$D5="6 dd",$D5="8 dd",$D5="12 dd",$D5="24 dd",$D5="an",$D5="zn"),VLOOKUP($D5,NeoTblTijden!$A$17:$Y$27,NeoTblTijden!J$15,FALSE),"")</f>
        <v/>
      </c>
      <c r="Q5" s="374" t="str">
        <f>IF(OR($D5="1 dd",$D5="2 dd",$D5="3 dd",$D5="4 dd",$D5="5 dd",$D5="6 dd",$D5="8 dd",$D5="12 dd",$D5="24 dd",$D5="an",$D5="zn"),VLOOKUP($D5,NeoTblTijden!$A$17:$Y$27,NeoTblTijden!K$15,FALSE),"")</f>
        <v/>
      </c>
      <c r="R5" s="93" t="str">
        <f>IF(OR($D5="1 dd",$D5="2 dd",$D5="3 dd",$D5="4 dd",$D5="5 dd",$D5="6 dd",$D5="8 dd",$D5="12 dd",$D5="24 dd",$D5="an",$D5="zn"),VLOOKUP($D5,NeoTblTijden!$A$17:$Y$27,NeoTblTijden!L$15,FALSE),"")</f>
        <v/>
      </c>
      <c r="S5" s="374" t="str">
        <f>IF(OR($D5="1 dd",$D5="2 dd",$D5="3 dd",$D5="4 dd",$D5="5 dd",$D5="6 dd",$D5="8 dd",$D5="12 dd",$D5="24 dd",$D5="an",$D5="zn"),VLOOKUP($D5,NeoTblTijden!$A$17:$Y$27,NeoTblTijden!M$15,FALSE),"")</f>
        <v/>
      </c>
      <c r="T5" s="93" t="str">
        <f>IF(OR($D5="1 dd",$D5="2 dd",$D5="3 dd",$D5="4 dd",$D5="5 dd",$D5="6 dd",$D5="8 dd",$D5="12 dd",$D5="24 dd",$D5="an",$D5="zn"),VLOOKUP($D5,NeoTblTijden!$A$17:$Y$27,NeoTblTijden!N$15,FALSE),"")</f>
        <v/>
      </c>
      <c r="U5" s="374" t="str">
        <f>IF(OR($D5="1 dd",$D5="2 dd",$D5="3 dd",$D5="4 dd",$D5="5 dd",$D5="6 dd",$D5="8 dd",$D5="12 dd",$D5="24 dd",$D5="an",$D5="zn"),VLOOKUP($D5,NeoTblTijden!$A$17:$Y$27,NeoTblTijden!O$15,FALSE),"")</f>
        <v/>
      </c>
      <c r="V5" s="93" t="str">
        <f>IF(OR($D5="1 dd",$D5="2 dd",$D5="3 dd",$D5="4 dd",$D5="5 dd",$D5="6 dd",$D5="8 dd",$D5="12 dd",$D5="24 dd",$D5="an",$D5="zn"),VLOOKUP($D5,NeoTblTijden!$A$17:$Y$27,NeoTblTijden!P$15,FALSE),"")</f>
        <v/>
      </c>
      <c r="W5" s="374" t="str">
        <f>IF(OR($D5="1 dd",$D5="2 dd",$D5="3 dd",$D5="4 dd",$D5="5 dd",$D5="6 dd",$D5="8 dd",$D5="12 dd",$D5="24 dd",$D5="an",$D5="zn"),VLOOKUP($D5,NeoTblTijden!$A$17:$Y$27,NeoTblTijden!Q$15,FALSE),"")</f>
        <v/>
      </c>
      <c r="X5" s="93" t="str">
        <f>IF(OR($D5="1 dd",$D5="2 dd",$D5="3 dd",$D5="4 dd",$D5="5 dd",$D5="6 dd",$D5="8 dd",$D5="12 dd",$D5="24 dd",$D5="an",$D5="zn"),VLOOKUP($D5,NeoTblTijden!$A$17:$Y$27,NeoTblTijden!R$15,FALSE),"")</f>
        <v/>
      </c>
      <c r="Y5" s="374" t="str">
        <f>IF(OR($D5="1 dd",$D5="2 dd",$D5="3 dd",$D5="4 dd",$D5="5 dd",$D5="6 dd",$D5="8 dd",$D5="12 dd",$D5="24 dd",$D5="an",$D5="zn"),VLOOKUP($D5,NeoTblTijden!$A$17:$Y$27,NeoTblTijden!S$15,FALSE),"")</f>
        <v/>
      </c>
      <c r="Z5" s="93" t="str">
        <f>IF(OR($D5="1 dd",$D5="2 dd",$D5="3 dd",$D5="4 dd",$D5="5 dd",$D5="6 dd",$D5="8 dd",$D5="12 dd",$D5="24 dd",$D5="an",$D5="zn"),VLOOKUP($D5,NeoTblTijden!$A$17:$Y$27,NeoTblTijden!T$15,FALSE),"")</f>
        <v/>
      </c>
      <c r="AA5" s="374" t="str">
        <f>IF(OR($D5="1 dd",$D5="2 dd",$D5="3 dd",$D5="4 dd",$D5="5 dd",$D5="6 dd",$D5="8 dd",$D5="12 dd",$D5="24 dd",$D5="an",$D5="zn"),VLOOKUP($D5,NeoTblTijden!$A$17:$Y$27,NeoTblTijden!U$15,FALSE),"")</f>
        <v/>
      </c>
      <c r="AB5" s="93" t="str">
        <f>IF(OR($D5="1 dd",$D5="2 dd",$D5="3 dd",$D5="4 dd",$D5="5 dd",$D5="6 dd",$D5="8 dd",$D5="12 dd",$D5="24 dd",$D5="an",$D5="zn"),VLOOKUP($D5,NeoTblTijden!$A$17:$Y$27,NeoTblTijden!V$15,FALSE),"")</f>
        <v/>
      </c>
      <c r="AC5" s="374" t="str">
        <f>IF(OR($D5="1 dd",$D5="2 dd",$D5="3 dd",$D5="4 dd",$D5="5 dd",$D5="6 dd",$D5="8 dd",$D5="12 dd",$D5="24 dd",$D5="an",$D5="zn"),VLOOKUP($D5,NeoTblTijden!$A$17:$Y$27,NeoTblTijden!W$15,FALSE),"")</f>
        <v/>
      </c>
      <c r="AD5" s="93" t="str">
        <f>IF(OR($D5="1 dd",$D5="2 dd",$D5="3 dd",$D5="4 dd",$D5="5 dd",$D5="6 dd",$D5="8 dd",$D5="12 dd",$D5="24 dd",$D5="an",$D5="zn"),VLOOKUP($D5,NeoTblTijden!$A$17:$Y$27,NeoTblTijden!X$15,FALSE),"")</f>
        <v/>
      </c>
      <c r="AE5" s="374" t="str">
        <f>IF(OR($D5="1 dd",$D5="2 dd",$D5="3 dd",$D5="4 dd",$D5="5 dd",$D5="6 dd",$D5="8 dd",$D5="12 dd",$D5="24 dd",$D5="an",$D5="zn"),VLOOKUP($D5,NeoTblTijden!$A$17:$Y$27,NeoTblTijden!Y$15,FALSE),"")</f>
        <v/>
      </c>
      <c r="AF5" s="92"/>
      <c r="AG5" s="14"/>
    </row>
    <row r="6" spans="1:33" ht="26.1" customHeight="1" x14ac:dyDescent="0.2">
      <c r="A6" s="352"/>
      <c r="B6" s="94"/>
      <c r="C6" s="125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26" t="str">
        <f>IF(GlobGuiMedDisc!I12&lt;&gt;"",GlobGuiMedDisc!I12,"")</f>
        <v/>
      </c>
      <c r="E6" s="127" t="str">
        <f>IF(AND(D6&lt;&gt;"",D6&lt;&gt;"STOP"),GlobBerMedDisc!H5&amp;" "&amp;GlobBerMedDisc!F5,"")</f>
        <v/>
      </c>
      <c r="F6" s="127" t="str">
        <f>IF(AND(D6&lt;&gt;"",D6&lt;&gt;"STOP"),GlobBerMedDisc!L5," ")</f>
        <v xml:space="preserve"> </v>
      </c>
      <c r="G6" s="127" t="str">
        <f>IF(GlobGuiMedDisc!N12&lt;&gt;"",GlobGuiMedDisc!N12&amp;" "&amp;GlobGuiMedDisc!O12&amp;" "&amp;INDEX(GlobBerMedDisc!$B$27:$B$30,GlobBerMedDisc!O5,1)&amp;" in "&amp;GlobGuiMedDisc!$R$12,"")</f>
        <v/>
      </c>
      <c r="H6" s="93" t="str">
        <f>IF(OR($D6="1 dd",$D6="2 dd",$D6="3 dd",$D6="4 dd",$D6="5 dd",$D6="6 dd",$D6="8 dd",$D6="12 dd",$D6="24 dd",$D6="an",$D6="zn"),VLOOKUP($D6,NeoTblTijden!$A$17:$Y$27,NeoTblTijden!B$15,FALSE),"")</f>
        <v/>
      </c>
      <c r="I6" s="374" t="str">
        <f>IF(OR($D6="1 dd",$D6="2 dd",$D6="3 dd",$D6="4 dd",$D6="5 dd",$D6="6 dd",$D6="8 dd",$D6="12 dd",$D6="24 dd",$D6="an",$D6="zn"),VLOOKUP($D6,NeoTblTijden!$A$17:$Y$27,NeoTblTijden!C$15,FALSE),"")</f>
        <v/>
      </c>
      <c r="J6" s="93" t="str">
        <f>IF(OR($D6="1 dd",$D6="2 dd",$D6="3 dd",$D6="4 dd",$D6="5 dd",$D6="6 dd",$D6="8 dd",$D6="12 dd",$D6="24 dd",$D6="an",$D6="zn"),VLOOKUP($D6,NeoTblTijden!$A$17:$Y$27,NeoTblTijden!D$15,FALSE),"")</f>
        <v/>
      </c>
      <c r="K6" s="374" t="str">
        <f>IF(OR($D6="1 dd",$D6="2 dd",$D6="3 dd",$D6="4 dd",$D6="5 dd",$D6="6 dd",$D6="8 dd",$D6="12 dd",$D6="24 dd",$D6="an",$D6="zn"),VLOOKUP($D6,NeoTblTijden!$A$17:$Y$27,NeoTblTijden!E$15,FALSE),"")</f>
        <v/>
      </c>
      <c r="L6" s="93" t="str">
        <f>IF(OR($D6="1 dd",$D6="2 dd",$D6="3 dd",$D6="4 dd",$D6="5 dd",$D6="6 dd",$D6="8 dd",$D6="12 dd",$D6="24 dd",$D6="an",$D6="zn"),VLOOKUP($D6,NeoTblTijden!$A$17:$Y$27,NeoTblTijden!F$15,FALSE),"")</f>
        <v/>
      </c>
      <c r="M6" s="374" t="str">
        <f>IF(OR($D6="1 dd",$D6="2 dd",$D6="3 dd",$D6="4 dd",$D6="5 dd",$D6="6 dd",$D6="8 dd",$D6="12 dd",$D6="24 dd",$D6="an",$D6="zn"),VLOOKUP($D6,NeoTblTijden!$A$17:$Y$27,NeoTblTijden!G$15,FALSE),"")</f>
        <v/>
      </c>
      <c r="N6" s="93" t="str">
        <f>IF(OR($D6="1 dd",$D6="2 dd",$D6="3 dd",$D6="4 dd",$D6="5 dd",$D6="6 dd",$D6="8 dd",$D6="12 dd",$D6="24 dd",$D6="an",$D6="zn"),VLOOKUP($D6,NeoTblTijden!$A$17:$Y$27,NeoTblTijden!H$15,FALSE),"")</f>
        <v/>
      </c>
      <c r="O6" s="374" t="str">
        <f>IF(OR($D6="1 dd",$D6="2 dd",$D6="3 dd",$D6="4 dd",$D6="5 dd",$D6="6 dd",$D6="8 dd",$D6="12 dd",$D6="24 dd",$D6="an",$D6="zn"),VLOOKUP($D6,NeoTblTijden!$A$17:$Y$27,NeoTblTijden!I$15,FALSE),"")</f>
        <v/>
      </c>
      <c r="P6" s="93" t="str">
        <f>IF(OR($D6="1 dd",$D6="2 dd",$D6="3 dd",$D6="4 dd",$D6="5 dd",$D6="6 dd",$D6="8 dd",$D6="12 dd",$D6="24 dd",$D6="an",$D6="zn"),VLOOKUP($D6,NeoTblTijden!$A$17:$Y$27,NeoTblTijden!J$15,FALSE),"")</f>
        <v/>
      </c>
      <c r="Q6" s="374" t="str">
        <f>IF(OR($D6="1 dd",$D6="2 dd",$D6="3 dd",$D6="4 dd",$D6="5 dd",$D6="6 dd",$D6="8 dd",$D6="12 dd",$D6="24 dd",$D6="an",$D6="zn"),VLOOKUP($D6,NeoTblTijden!$A$17:$Y$27,NeoTblTijden!K$15,FALSE),"")</f>
        <v/>
      </c>
      <c r="R6" s="93" t="str">
        <f>IF(OR($D6="1 dd",$D6="2 dd",$D6="3 dd",$D6="4 dd",$D6="5 dd",$D6="6 dd",$D6="8 dd",$D6="12 dd",$D6="24 dd",$D6="an",$D6="zn"),VLOOKUP($D6,NeoTblTijden!$A$17:$Y$27,NeoTblTijden!L$15,FALSE),"")</f>
        <v/>
      </c>
      <c r="S6" s="374" t="str">
        <f>IF(OR($D6="1 dd",$D6="2 dd",$D6="3 dd",$D6="4 dd",$D6="5 dd",$D6="6 dd",$D6="8 dd",$D6="12 dd",$D6="24 dd",$D6="an",$D6="zn"),VLOOKUP($D6,NeoTblTijden!$A$17:$Y$27,NeoTblTijden!M$15,FALSE),"")</f>
        <v/>
      </c>
      <c r="T6" s="93" t="str">
        <f>IF(OR($D6="1 dd",$D6="2 dd",$D6="3 dd",$D6="4 dd",$D6="5 dd",$D6="6 dd",$D6="8 dd",$D6="12 dd",$D6="24 dd",$D6="an",$D6="zn"),VLOOKUP($D6,NeoTblTijden!$A$17:$Y$27,NeoTblTijden!N$15,FALSE),"")</f>
        <v/>
      </c>
      <c r="U6" s="374" t="str">
        <f>IF(OR($D6="1 dd",$D6="2 dd",$D6="3 dd",$D6="4 dd",$D6="5 dd",$D6="6 dd",$D6="8 dd",$D6="12 dd",$D6="24 dd",$D6="an",$D6="zn"),VLOOKUP($D6,NeoTblTijden!$A$17:$Y$27,NeoTblTijden!O$15,FALSE),"")</f>
        <v/>
      </c>
      <c r="V6" s="93" t="str">
        <f>IF(OR($D6="1 dd",$D6="2 dd",$D6="3 dd",$D6="4 dd",$D6="5 dd",$D6="6 dd",$D6="8 dd",$D6="12 dd",$D6="24 dd",$D6="an",$D6="zn"),VLOOKUP($D6,NeoTblTijden!$A$17:$Y$27,NeoTblTijden!P$15,FALSE),"")</f>
        <v/>
      </c>
      <c r="W6" s="374" t="str">
        <f>IF(OR($D6="1 dd",$D6="2 dd",$D6="3 dd",$D6="4 dd",$D6="5 dd",$D6="6 dd",$D6="8 dd",$D6="12 dd",$D6="24 dd",$D6="an",$D6="zn"),VLOOKUP($D6,NeoTblTijden!$A$17:$Y$27,NeoTblTijden!Q$15,FALSE),"")</f>
        <v/>
      </c>
      <c r="X6" s="93" t="str">
        <f>IF(OR($D6="1 dd",$D6="2 dd",$D6="3 dd",$D6="4 dd",$D6="5 dd",$D6="6 dd",$D6="8 dd",$D6="12 dd",$D6="24 dd",$D6="an",$D6="zn"),VLOOKUP($D6,NeoTblTijden!$A$17:$Y$27,NeoTblTijden!R$15,FALSE),"")</f>
        <v/>
      </c>
      <c r="Y6" s="374" t="str">
        <f>IF(OR($D6="1 dd",$D6="2 dd",$D6="3 dd",$D6="4 dd",$D6="5 dd",$D6="6 dd",$D6="8 dd",$D6="12 dd",$D6="24 dd",$D6="an",$D6="zn"),VLOOKUP($D6,NeoTblTijden!$A$17:$Y$27,NeoTblTijden!S$15,FALSE),"")</f>
        <v/>
      </c>
      <c r="Z6" s="93" t="str">
        <f>IF(OR($D6="1 dd",$D6="2 dd",$D6="3 dd",$D6="4 dd",$D6="5 dd",$D6="6 dd",$D6="8 dd",$D6="12 dd",$D6="24 dd",$D6="an",$D6="zn"),VLOOKUP($D6,NeoTblTijden!$A$17:$Y$27,NeoTblTijden!T$15,FALSE),"")</f>
        <v/>
      </c>
      <c r="AA6" s="374" t="str">
        <f>IF(OR($D6="1 dd",$D6="2 dd",$D6="3 dd",$D6="4 dd",$D6="5 dd",$D6="6 dd",$D6="8 dd",$D6="12 dd",$D6="24 dd",$D6="an",$D6="zn"),VLOOKUP($D6,NeoTblTijden!$A$17:$Y$27,NeoTblTijden!U$15,FALSE),"")</f>
        <v/>
      </c>
      <c r="AB6" s="93" t="str">
        <f>IF(OR($D6="1 dd",$D6="2 dd",$D6="3 dd",$D6="4 dd",$D6="5 dd",$D6="6 dd",$D6="8 dd",$D6="12 dd",$D6="24 dd",$D6="an",$D6="zn"),VLOOKUP($D6,NeoTblTijden!$A$17:$Y$27,NeoTblTijden!V$15,FALSE),"")</f>
        <v/>
      </c>
      <c r="AC6" s="374" t="str">
        <f>IF(OR($D6="1 dd",$D6="2 dd",$D6="3 dd",$D6="4 dd",$D6="5 dd",$D6="6 dd",$D6="8 dd",$D6="12 dd",$D6="24 dd",$D6="an",$D6="zn"),VLOOKUP($D6,NeoTblTijden!$A$17:$Y$27,NeoTblTijden!W$15,FALSE),"")</f>
        <v/>
      </c>
      <c r="AD6" s="93" t="str">
        <f>IF(OR($D6="1 dd",$D6="2 dd",$D6="3 dd",$D6="4 dd",$D6="5 dd",$D6="6 dd",$D6="8 dd",$D6="12 dd",$D6="24 dd",$D6="an",$D6="zn"),VLOOKUP($D6,NeoTblTijden!$A$17:$Y$27,NeoTblTijden!X$15,FALSE),"")</f>
        <v/>
      </c>
      <c r="AE6" s="374" t="str">
        <f>IF(OR($D6="1 dd",$D6="2 dd",$D6="3 dd",$D6="4 dd",$D6="5 dd",$D6="6 dd",$D6="8 dd",$D6="12 dd",$D6="24 dd",$D6="an",$D6="zn"),VLOOKUP($D6,NeoTblTijden!$A$17:$Y$27,NeoTblTijden!Y$15,FALSE),"")</f>
        <v/>
      </c>
      <c r="AF6" s="92"/>
      <c r="AG6" s="14"/>
    </row>
    <row r="7" spans="1:33" ht="26.1" customHeight="1" x14ac:dyDescent="0.2">
      <c r="B7" s="94"/>
      <c r="C7" s="125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26" t="str">
        <f>IF(GlobGuiMedDisc!I13&lt;&gt;"",GlobGuiMedDisc!I13,"")</f>
        <v/>
      </c>
      <c r="E7" s="127" t="str">
        <f>IF(AND(D7&lt;&gt;"",D7&lt;&gt;"STOP"),GlobBerMedDisc!H6&amp;" "&amp;GlobBerMedDisc!F6,"")</f>
        <v/>
      </c>
      <c r="F7" s="127" t="str">
        <f>IF(AND(D7&lt;&gt;"",D7&lt;&gt;"STOP"),GlobBerMedDisc!L6," ")</f>
        <v xml:space="preserve"> </v>
      </c>
      <c r="G7" s="127" t="str">
        <f>IF(GlobGuiMedDisc!N13&lt;&gt;"",GlobGuiMedDisc!N13&amp;" "&amp;GlobGuiMedDisc!O13&amp;" "&amp;INDEX(GlobBerMedDisc!$B$27:$B$30,GlobBerMedDisc!O6,1)&amp;" in "&amp;GlobGuiMedDisc!$R$13,"")</f>
        <v/>
      </c>
      <c r="H7" s="93" t="str">
        <f>IF(OR($D7="1 dd",$D7="2 dd",$D7="3 dd",$D7="4 dd",$D7="5 dd",$D7="6 dd",$D7="8 dd",$D7="12 dd",$D7="24 dd",$D7="an",$D7="zn"),VLOOKUP($D7,NeoTblTijden!$A$17:$Y$27,NeoTblTijden!B$15,FALSE),"")</f>
        <v/>
      </c>
      <c r="I7" s="374" t="str">
        <f>IF(OR($D7="1 dd",$D7="2 dd",$D7="3 dd",$D7="4 dd",$D7="5 dd",$D7="6 dd",$D7="8 dd",$D7="12 dd",$D7="24 dd",$D7="an",$D7="zn"),VLOOKUP($D7,NeoTblTijden!$A$17:$Y$27,NeoTblTijden!C$15,FALSE),"")</f>
        <v/>
      </c>
      <c r="J7" s="93" t="str">
        <f>IF(OR($D7="1 dd",$D7="2 dd",$D7="3 dd",$D7="4 dd",$D7="5 dd",$D7="6 dd",$D7="8 dd",$D7="12 dd",$D7="24 dd",$D7="an",$D7="zn"),VLOOKUP($D7,NeoTblTijden!$A$17:$Y$27,NeoTblTijden!D$15,FALSE),"")</f>
        <v/>
      </c>
      <c r="K7" s="374" t="str">
        <f>IF(OR($D7="1 dd",$D7="2 dd",$D7="3 dd",$D7="4 dd",$D7="5 dd",$D7="6 dd",$D7="8 dd",$D7="12 dd",$D7="24 dd",$D7="an",$D7="zn"),VLOOKUP($D7,NeoTblTijden!$A$17:$Y$27,NeoTblTijden!E$15,FALSE),"")</f>
        <v/>
      </c>
      <c r="L7" s="93" t="str">
        <f>IF(OR($D7="1 dd",$D7="2 dd",$D7="3 dd",$D7="4 dd",$D7="5 dd",$D7="6 dd",$D7="8 dd",$D7="12 dd",$D7="24 dd",$D7="an",$D7="zn"),VLOOKUP($D7,NeoTblTijden!$A$17:$Y$27,NeoTblTijden!F$15,FALSE),"")</f>
        <v/>
      </c>
      <c r="M7" s="374" t="str">
        <f>IF(OR($D7="1 dd",$D7="2 dd",$D7="3 dd",$D7="4 dd",$D7="5 dd",$D7="6 dd",$D7="8 dd",$D7="12 dd",$D7="24 dd",$D7="an",$D7="zn"),VLOOKUP($D7,NeoTblTijden!$A$17:$Y$27,NeoTblTijden!G$15,FALSE),"")</f>
        <v/>
      </c>
      <c r="N7" s="93" t="str">
        <f>IF(OR($D7="1 dd",$D7="2 dd",$D7="3 dd",$D7="4 dd",$D7="5 dd",$D7="6 dd",$D7="8 dd",$D7="12 dd",$D7="24 dd",$D7="an",$D7="zn"),VLOOKUP($D7,NeoTblTijden!$A$17:$Y$27,NeoTblTijden!H$15,FALSE),"")</f>
        <v/>
      </c>
      <c r="O7" s="374" t="str">
        <f>IF(OR($D7="1 dd",$D7="2 dd",$D7="3 dd",$D7="4 dd",$D7="5 dd",$D7="6 dd",$D7="8 dd",$D7="12 dd",$D7="24 dd",$D7="an",$D7="zn"),VLOOKUP($D7,NeoTblTijden!$A$17:$Y$27,NeoTblTijden!I$15,FALSE),"")</f>
        <v/>
      </c>
      <c r="P7" s="93" t="str">
        <f>IF(OR($D7="1 dd",$D7="2 dd",$D7="3 dd",$D7="4 dd",$D7="5 dd",$D7="6 dd",$D7="8 dd",$D7="12 dd",$D7="24 dd",$D7="an",$D7="zn"),VLOOKUP($D7,NeoTblTijden!$A$17:$Y$27,NeoTblTijden!J$15,FALSE),"")</f>
        <v/>
      </c>
      <c r="Q7" s="374" t="str">
        <f>IF(OR($D7="1 dd",$D7="2 dd",$D7="3 dd",$D7="4 dd",$D7="5 dd",$D7="6 dd",$D7="8 dd",$D7="12 dd",$D7="24 dd",$D7="an",$D7="zn"),VLOOKUP($D7,NeoTblTijden!$A$17:$Y$27,NeoTblTijden!K$15,FALSE),"")</f>
        <v/>
      </c>
      <c r="R7" s="93" t="str">
        <f>IF(OR($D7="1 dd",$D7="2 dd",$D7="3 dd",$D7="4 dd",$D7="5 dd",$D7="6 dd",$D7="8 dd",$D7="12 dd",$D7="24 dd",$D7="an",$D7="zn"),VLOOKUP($D7,NeoTblTijden!$A$17:$Y$27,NeoTblTijden!L$15,FALSE),"")</f>
        <v/>
      </c>
      <c r="S7" s="374" t="str">
        <f>IF(OR($D7="1 dd",$D7="2 dd",$D7="3 dd",$D7="4 dd",$D7="5 dd",$D7="6 dd",$D7="8 dd",$D7="12 dd",$D7="24 dd",$D7="an",$D7="zn"),VLOOKUP($D7,NeoTblTijden!$A$17:$Y$27,NeoTblTijden!M$15,FALSE),"")</f>
        <v/>
      </c>
      <c r="T7" s="93" t="str">
        <f>IF(OR($D7="1 dd",$D7="2 dd",$D7="3 dd",$D7="4 dd",$D7="5 dd",$D7="6 dd",$D7="8 dd",$D7="12 dd",$D7="24 dd",$D7="an",$D7="zn"),VLOOKUP($D7,NeoTblTijden!$A$17:$Y$27,NeoTblTijden!N$15,FALSE),"")</f>
        <v/>
      </c>
      <c r="U7" s="374" t="str">
        <f>IF(OR($D7="1 dd",$D7="2 dd",$D7="3 dd",$D7="4 dd",$D7="5 dd",$D7="6 dd",$D7="8 dd",$D7="12 dd",$D7="24 dd",$D7="an",$D7="zn"),VLOOKUP($D7,NeoTblTijden!$A$17:$Y$27,NeoTblTijden!O$15,FALSE),"")</f>
        <v/>
      </c>
      <c r="V7" s="93" t="str">
        <f>IF(OR($D7="1 dd",$D7="2 dd",$D7="3 dd",$D7="4 dd",$D7="5 dd",$D7="6 dd",$D7="8 dd",$D7="12 dd",$D7="24 dd",$D7="an",$D7="zn"),VLOOKUP($D7,NeoTblTijden!$A$17:$Y$27,NeoTblTijden!P$15,FALSE),"")</f>
        <v/>
      </c>
      <c r="W7" s="374" t="str">
        <f>IF(OR($D7="1 dd",$D7="2 dd",$D7="3 dd",$D7="4 dd",$D7="5 dd",$D7="6 dd",$D7="8 dd",$D7="12 dd",$D7="24 dd",$D7="an",$D7="zn"),VLOOKUP($D7,NeoTblTijden!$A$17:$Y$27,NeoTblTijden!Q$15,FALSE),"")</f>
        <v/>
      </c>
      <c r="X7" s="93" t="str">
        <f>IF(OR($D7="1 dd",$D7="2 dd",$D7="3 dd",$D7="4 dd",$D7="5 dd",$D7="6 dd",$D7="8 dd",$D7="12 dd",$D7="24 dd",$D7="an",$D7="zn"),VLOOKUP($D7,NeoTblTijden!$A$17:$Y$27,NeoTblTijden!R$15,FALSE),"")</f>
        <v/>
      </c>
      <c r="Y7" s="374" t="str">
        <f>IF(OR($D7="1 dd",$D7="2 dd",$D7="3 dd",$D7="4 dd",$D7="5 dd",$D7="6 dd",$D7="8 dd",$D7="12 dd",$D7="24 dd",$D7="an",$D7="zn"),VLOOKUP($D7,NeoTblTijden!$A$17:$Y$27,NeoTblTijden!S$15,FALSE),"")</f>
        <v/>
      </c>
      <c r="Z7" s="93" t="str">
        <f>IF(OR($D7="1 dd",$D7="2 dd",$D7="3 dd",$D7="4 dd",$D7="5 dd",$D7="6 dd",$D7="8 dd",$D7="12 dd",$D7="24 dd",$D7="an",$D7="zn"),VLOOKUP($D7,NeoTblTijden!$A$17:$Y$27,NeoTblTijden!T$15,FALSE),"")</f>
        <v/>
      </c>
      <c r="AA7" s="374" t="str">
        <f>IF(OR($D7="1 dd",$D7="2 dd",$D7="3 dd",$D7="4 dd",$D7="5 dd",$D7="6 dd",$D7="8 dd",$D7="12 dd",$D7="24 dd",$D7="an",$D7="zn"),VLOOKUP($D7,NeoTblTijden!$A$17:$Y$27,NeoTblTijden!U$15,FALSE),"")</f>
        <v/>
      </c>
      <c r="AB7" s="93" t="str">
        <f>IF(OR($D7="1 dd",$D7="2 dd",$D7="3 dd",$D7="4 dd",$D7="5 dd",$D7="6 dd",$D7="8 dd",$D7="12 dd",$D7="24 dd",$D7="an",$D7="zn"),VLOOKUP($D7,NeoTblTijden!$A$17:$Y$27,NeoTblTijden!V$15,FALSE),"")</f>
        <v/>
      </c>
      <c r="AC7" s="374" t="str">
        <f>IF(OR($D7="1 dd",$D7="2 dd",$D7="3 dd",$D7="4 dd",$D7="5 dd",$D7="6 dd",$D7="8 dd",$D7="12 dd",$D7="24 dd",$D7="an",$D7="zn"),VLOOKUP($D7,NeoTblTijden!$A$17:$Y$27,NeoTblTijden!W$15,FALSE),"")</f>
        <v/>
      </c>
      <c r="AD7" s="93" t="str">
        <f>IF(OR($D7="1 dd",$D7="2 dd",$D7="3 dd",$D7="4 dd",$D7="5 dd",$D7="6 dd",$D7="8 dd",$D7="12 dd",$D7="24 dd",$D7="an",$D7="zn"),VLOOKUP($D7,NeoTblTijden!$A$17:$Y$27,NeoTblTijden!X$15,FALSE),"")</f>
        <v/>
      </c>
      <c r="AE7" s="374" t="str">
        <f>IF(OR($D7="1 dd",$D7="2 dd",$D7="3 dd",$D7="4 dd",$D7="5 dd",$D7="6 dd",$D7="8 dd",$D7="12 dd",$D7="24 dd",$D7="an",$D7="zn"),VLOOKUP($D7,NeoTblTijden!$A$17:$Y$27,NeoTblTijden!Y$15,FALSE),"")</f>
        <v/>
      </c>
      <c r="AF7" s="92"/>
      <c r="AG7" s="14"/>
    </row>
    <row r="8" spans="1:33" ht="26.1" customHeight="1" x14ac:dyDescent="0.2">
      <c r="B8" s="94"/>
      <c r="C8" s="125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26" t="str">
        <f>IF(GlobGuiMedDisc!I14&lt;&gt;"",GlobGuiMedDisc!I14,"")</f>
        <v/>
      </c>
      <c r="E8" s="127" t="str">
        <f>IF(AND(D8&lt;&gt;"",D8&lt;&gt;"STOP"),GlobBerMedDisc!H7&amp;" "&amp;GlobBerMedDisc!F7,"")</f>
        <v/>
      </c>
      <c r="F8" s="127" t="str">
        <f>IF(AND(D8&lt;&gt;"",D8&lt;&gt;"STOP"),GlobBerMedDisc!L7," ")</f>
        <v xml:space="preserve"> </v>
      </c>
      <c r="G8" s="127" t="str">
        <f>IF(GlobGuiMedDisc!N14&lt;&gt;"",GlobGuiMedDisc!N14&amp;" "&amp;GlobGuiMedDisc!O14&amp;" "&amp;INDEX(GlobBerMedDisc!$B$27:$B$30,GlobBerMedDisc!O7,1)&amp;" in "&amp;GlobGuiMedDisc!$R$14,"")</f>
        <v/>
      </c>
      <c r="H8" s="93" t="str">
        <f>IF(OR($D8="1 dd",$D8="2 dd",$D8="3 dd",$D8="4 dd",$D8="5 dd",$D8="6 dd",$D8="8 dd",$D8="12 dd",$D8="24 dd",$D8="an",$D8="zn"),VLOOKUP($D8,NeoTblTijden!$A$17:$Y$27,NeoTblTijden!B$15,FALSE),"")</f>
        <v/>
      </c>
      <c r="I8" s="374" t="str">
        <f>IF(OR($D8="1 dd",$D8="2 dd",$D8="3 dd",$D8="4 dd",$D8="5 dd",$D8="6 dd",$D8="8 dd",$D8="12 dd",$D8="24 dd",$D8="an",$D8="zn"),VLOOKUP($D8,NeoTblTijden!$A$17:$Y$27,NeoTblTijden!C$15,FALSE),"")</f>
        <v/>
      </c>
      <c r="J8" s="93" t="str">
        <f>IF(OR($D8="1 dd",$D8="2 dd",$D8="3 dd",$D8="4 dd",$D8="5 dd",$D8="6 dd",$D8="8 dd",$D8="12 dd",$D8="24 dd",$D8="an",$D8="zn"),VLOOKUP($D8,NeoTblTijden!$A$17:$Y$27,NeoTblTijden!D$15,FALSE),"")</f>
        <v/>
      </c>
      <c r="K8" s="374" t="str">
        <f>IF(OR($D8="1 dd",$D8="2 dd",$D8="3 dd",$D8="4 dd",$D8="5 dd",$D8="6 dd",$D8="8 dd",$D8="12 dd",$D8="24 dd",$D8="an",$D8="zn"),VLOOKUP($D8,NeoTblTijden!$A$17:$Y$27,NeoTblTijden!E$15,FALSE),"")</f>
        <v/>
      </c>
      <c r="L8" s="93" t="str">
        <f>IF(OR($D8="1 dd",$D8="2 dd",$D8="3 dd",$D8="4 dd",$D8="5 dd",$D8="6 dd",$D8="8 dd",$D8="12 dd",$D8="24 dd",$D8="an",$D8="zn"),VLOOKUP($D8,NeoTblTijden!$A$17:$Y$27,NeoTblTijden!F$15,FALSE),"")</f>
        <v/>
      </c>
      <c r="M8" s="374" t="str">
        <f>IF(OR($D8="1 dd",$D8="2 dd",$D8="3 dd",$D8="4 dd",$D8="5 dd",$D8="6 dd",$D8="8 dd",$D8="12 dd",$D8="24 dd",$D8="an",$D8="zn"),VLOOKUP($D8,NeoTblTijden!$A$17:$Y$27,NeoTblTijden!G$15,FALSE),"")</f>
        <v/>
      </c>
      <c r="N8" s="93" t="str">
        <f>IF(OR($D8="1 dd",$D8="2 dd",$D8="3 dd",$D8="4 dd",$D8="5 dd",$D8="6 dd",$D8="8 dd",$D8="12 dd",$D8="24 dd",$D8="an",$D8="zn"),VLOOKUP($D8,NeoTblTijden!$A$17:$Y$27,NeoTblTijden!H$15,FALSE),"")</f>
        <v/>
      </c>
      <c r="O8" s="374" t="str">
        <f>IF(OR($D8="1 dd",$D8="2 dd",$D8="3 dd",$D8="4 dd",$D8="5 dd",$D8="6 dd",$D8="8 dd",$D8="12 dd",$D8="24 dd",$D8="an",$D8="zn"),VLOOKUP($D8,NeoTblTijden!$A$17:$Y$27,NeoTblTijden!I$15,FALSE),"")</f>
        <v/>
      </c>
      <c r="P8" s="93" t="str">
        <f>IF(OR($D8="1 dd",$D8="2 dd",$D8="3 dd",$D8="4 dd",$D8="5 dd",$D8="6 dd",$D8="8 dd",$D8="12 dd",$D8="24 dd",$D8="an",$D8="zn"),VLOOKUP($D8,NeoTblTijden!$A$17:$Y$27,NeoTblTijden!J$15,FALSE),"")</f>
        <v/>
      </c>
      <c r="Q8" s="374" t="str">
        <f>IF(OR($D8="1 dd",$D8="2 dd",$D8="3 dd",$D8="4 dd",$D8="5 dd",$D8="6 dd",$D8="8 dd",$D8="12 dd",$D8="24 dd",$D8="an",$D8="zn"),VLOOKUP($D8,NeoTblTijden!$A$17:$Y$27,NeoTblTijden!K$15,FALSE),"")</f>
        <v/>
      </c>
      <c r="R8" s="93" t="str">
        <f>IF(OR($D8="1 dd",$D8="2 dd",$D8="3 dd",$D8="4 dd",$D8="5 dd",$D8="6 dd",$D8="8 dd",$D8="12 dd",$D8="24 dd",$D8="an",$D8="zn"),VLOOKUP($D8,NeoTblTijden!$A$17:$Y$27,NeoTblTijden!L$15,FALSE),"")</f>
        <v/>
      </c>
      <c r="S8" s="374" t="str">
        <f>IF(OR($D8="1 dd",$D8="2 dd",$D8="3 dd",$D8="4 dd",$D8="5 dd",$D8="6 dd",$D8="8 dd",$D8="12 dd",$D8="24 dd",$D8="an",$D8="zn"),VLOOKUP($D8,NeoTblTijden!$A$17:$Y$27,NeoTblTijden!M$15,FALSE),"")</f>
        <v/>
      </c>
      <c r="T8" s="93" t="str">
        <f>IF(OR($D8="1 dd",$D8="2 dd",$D8="3 dd",$D8="4 dd",$D8="5 dd",$D8="6 dd",$D8="8 dd",$D8="12 dd",$D8="24 dd",$D8="an",$D8="zn"),VLOOKUP($D8,NeoTblTijden!$A$17:$Y$27,NeoTblTijden!N$15,FALSE),"")</f>
        <v/>
      </c>
      <c r="U8" s="374" t="str">
        <f>IF(OR($D8="1 dd",$D8="2 dd",$D8="3 dd",$D8="4 dd",$D8="5 dd",$D8="6 dd",$D8="8 dd",$D8="12 dd",$D8="24 dd",$D8="an",$D8="zn"),VLOOKUP($D8,NeoTblTijden!$A$17:$Y$27,NeoTblTijden!O$15,FALSE),"")</f>
        <v/>
      </c>
      <c r="V8" s="93" t="str">
        <f>IF(OR($D8="1 dd",$D8="2 dd",$D8="3 dd",$D8="4 dd",$D8="5 dd",$D8="6 dd",$D8="8 dd",$D8="12 dd",$D8="24 dd",$D8="an",$D8="zn"),VLOOKUP($D8,NeoTblTijden!$A$17:$Y$27,NeoTblTijden!P$15,FALSE),"")</f>
        <v/>
      </c>
      <c r="W8" s="374" t="str">
        <f>IF(OR($D8="1 dd",$D8="2 dd",$D8="3 dd",$D8="4 dd",$D8="5 dd",$D8="6 dd",$D8="8 dd",$D8="12 dd",$D8="24 dd",$D8="an",$D8="zn"),VLOOKUP($D8,NeoTblTijden!$A$17:$Y$27,NeoTblTijden!Q$15,FALSE),"")</f>
        <v/>
      </c>
      <c r="X8" s="93" t="str">
        <f>IF(OR($D8="1 dd",$D8="2 dd",$D8="3 dd",$D8="4 dd",$D8="5 dd",$D8="6 dd",$D8="8 dd",$D8="12 dd",$D8="24 dd",$D8="an",$D8="zn"),VLOOKUP($D8,NeoTblTijden!$A$17:$Y$27,NeoTblTijden!R$15,FALSE),"")</f>
        <v/>
      </c>
      <c r="Y8" s="374" t="str">
        <f>IF(OR($D8="1 dd",$D8="2 dd",$D8="3 dd",$D8="4 dd",$D8="5 dd",$D8="6 dd",$D8="8 dd",$D8="12 dd",$D8="24 dd",$D8="an",$D8="zn"),VLOOKUP($D8,NeoTblTijden!$A$17:$Y$27,NeoTblTijden!S$15,FALSE),"")</f>
        <v/>
      </c>
      <c r="Z8" s="93" t="str">
        <f>IF(OR($D8="1 dd",$D8="2 dd",$D8="3 dd",$D8="4 dd",$D8="5 dd",$D8="6 dd",$D8="8 dd",$D8="12 dd",$D8="24 dd",$D8="an",$D8="zn"),VLOOKUP($D8,NeoTblTijden!$A$17:$Y$27,NeoTblTijden!T$15,FALSE),"")</f>
        <v/>
      </c>
      <c r="AA8" s="374" t="str">
        <f>IF(OR($D8="1 dd",$D8="2 dd",$D8="3 dd",$D8="4 dd",$D8="5 dd",$D8="6 dd",$D8="8 dd",$D8="12 dd",$D8="24 dd",$D8="an",$D8="zn"),VLOOKUP($D8,NeoTblTijden!$A$17:$Y$27,NeoTblTijden!U$15,FALSE),"")</f>
        <v/>
      </c>
      <c r="AB8" s="93" t="str">
        <f>IF(OR($D8="1 dd",$D8="2 dd",$D8="3 dd",$D8="4 dd",$D8="5 dd",$D8="6 dd",$D8="8 dd",$D8="12 dd",$D8="24 dd",$D8="an",$D8="zn"),VLOOKUP($D8,NeoTblTijden!$A$17:$Y$27,NeoTblTijden!V$15,FALSE),"")</f>
        <v/>
      </c>
      <c r="AC8" s="374" t="str">
        <f>IF(OR($D8="1 dd",$D8="2 dd",$D8="3 dd",$D8="4 dd",$D8="5 dd",$D8="6 dd",$D8="8 dd",$D8="12 dd",$D8="24 dd",$D8="an",$D8="zn"),VLOOKUP($D8,NeoTblTijden!$A$17:$Y$27,NeoTblTijden!W$15,FALSE),"")</f>
        <v/>
      </c>
      <c r="AD8" s="93" t="str">
        <f>IF(OR($D8="1 dd",$D8="2 dd",$D8="3 dd",$D8="4 dd",$D8="5 dd",$D8="6 dd",$D8="8 dd",$D8="12 dd",$D8="24 dd",$D8="an",$D8="zn"),VLOOKUP($D8,NeoTblTijden!$A$17:$Y$27,NeoTblTijden!X$15,FALSE),"")</f>
        <v/>
      </c>
      <c r="AE8" s="374" t="str">
        <f>IF(OR($D8="1 dd",$D8="2 dd",$D8="3 dd",$D8="4 dd",$D8="5 dd",$D8="6 dd",$D8="8 dd",$D8="12 dd",$D8="24 dd",$D8="an",$D8="zn"),VLOOKUP($D8,NeoTblTijden!$A$17:$Y$27,NeoTblTijden!Y$15,FALSE),"")</f>
        <v/>
      </c>
      <c r="AF8" s="92"/>
      <c r="AG8" s="14"/>
    </row>
    <row r="9" spans="1:33" ht="26.1" customHeight="1" x14ac:dyDescent="0.2">
      <c r="B9" s="94"/>
      <c r="C9" s="125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26" t="str">
        <f>IF(GlobGuiMedDisc!I15&lt;&gt;"",GlobGuiMedDisc!I15,"")</f>
        <v/>
      </c>
      <c r="E9" s="127" t="str">
        <f>IF(AND(D9&lt;&gt;"",D9&lt;&gt;"STOP"),GlobBerMedDisc!H8&amp;" "&amp;GlobBerMedDisc!F8,"")</f>
        <v/>
      </c>
      <c r="F9" s="127" t="str">
        <f>IF(AND(D9&lt;&gt;"",D9&lt;&gt;"STOP"),GlobBerMedDisc!L8," ")</f>
        <v xml:space="preserve"> </v>
      </c>
      <c r="G9" s="127" t="str">
        <f>IF(GlobGuiMedDisc!N15&lt;&gt;"",GlobGuiMedDisc!N15&amp;" "&amp;GlobGuiMedDisc!O15&amp;" "&amp;INDEX(GlobBerMedDisc!$B$27:$B$30,GlobBerMedDisc!O8,1)&amp;" in "&amp;GlobGuiMedDisc!$R$15,"")</f>
        <v/>
      </c>
      <c r="H9" s="93" t="str">
        <f>IF(OR($D9="1 dd",$D9="2 dd",$D9="3 dd",$D9="4 dd",$D9="5 dd",$D9="6 dd",$D9="8 dd",$D9="12 dd",$D9="24 dd",$D9="an",$D9="zn"),VLOOKUP($D9,NeoTblTijden!$A$17:$Y$27,NeoTblTijden!B$15,FALSE),"")</f>
        <v/>
      </c>
      <c r="I9" s="374" t="str">
        <f>IF(OR($D9="1 dd",$D9="2 dd",$D9="3 dd",$D9="4 dd",$D9="5 dd",$D9="6 dd",$D9="8 dd",$D9="12 dd",$D9="24 dd",$D9="an",$D9="zn"),VLOOKUP($D9,NeoTblTijden!$A$17:$Y$27,NeoTblTijden!C$15,FALSE),"")</f>
        <v/>
      </c>
      <c r="J9" s="93" t="str">
        <f>IF(OR($D9="1 dd",$D9="2 dd",$D9="3 dd",$D9="4 dd",$D9="5 dd",$D9="6 dd",$D9="8 dd",$D9="12 dd",$D9="24 dd",$D9="an",$D9="zn"),VLOOKUP($D9,NeoTblTijden!$A$17:$Y$27,NeoTblTijden!D$15,FALSE),"")</f>
        <v/>
      </c>
      <c r="K9" s="374" t="str">
        <f>IF(OR($D9="1 dd",$D9="2 dd",$D9="3 dd",$D9="4 dd",$D9="5 dd",$D9="6 dd",$D9="8 dd",$D9="12 dd",$D9="24 dd",$D9="an",$D9="zn"),VLOOKUP($D9,NeoTblTijden!$A$17:$Y$27,NeoTblTijden!E$15,FALSE),"")</f>
        <v/>
      </c>
      <c r="L9" s="93" t="str">
        <f>IF(OR($D9="1 dd",$D9="2 dd",$D9="3 dd",$D9="4 dd",$D9="5 dd",$D9="6 dd",$D9="8 dd",$D9="12 dd",$D9="24 dd",$D9="an",$D9="zn"),VLOOKUP($D9,NeoTblTijden!$A$17:$Y$27,NeoTblTijden!F$15,FALSE),"")</f>
        <v/>
      </c>
      <c r="M9" s="374" t="str">
        <f>IF(OR($D9="1 dd",$D9="2 dd",$D9="3 dd",$D9="4 dd",$D9="5 dd",$D9="6 dd",$D9="8 dd",$D9="12 dd",$D9="24 dd",$D9="an",$D9="zn"),VLOOKUP($D9,NeoTblTijden!$A$17:$Y$27,NeoTblTijden!G$15,FALSE),"")</f>
        <v/>
      </c>
      <c r="N9" s="93" t="str">
        <f>IF(OR($D9="1 dd",$D9="2 dd",$D9="3 dd",$D9="4 dd",$D9="5 dd",$D9="6 dd",$D9="8 dd",$D9="12 dd",$D9="24 dd",$D9="an",$D9="zn"),VLOOKUP($D9,NeoTblTijden!$A$17:$Y$27,NeoTblTijden!H$15,FALSE),"")</f>
        <v/>
      </c>
      <c r="O9" s="374" t="str">
        <f>IF(OR($D9="1 dd",$D9="2 dd",$D9="3 dd",$D9="4 dd",$D9="5 dd",$D9="6 dd",$D9="8 dd",$D9="12 dd",$D9="24 dd",$D9="an",$D9="zn"),VLOOKUP($D9,NeoTblTijden!$A$17:$Y$27,NeoTblTijden!I$15,FALSE),"")</f>
        <v/>
      </c>
      <c r="P9" s="93" t="str">
        <f>IF(OR($D9="1 dd",$D9="2 dd",$D9="3 dd",$D9="4 dd",$D9="5 dd",$D9="6 dd",$D9="8 dd",$D9="12 dd",$D9="24 dd",$D9="an",$D9="zn"),VLOOKUP($D9,NeoTblTijden!$A$17:$Y$27,NeoTblTijden!J$15,FALSE),"")</f>
        <v/>
      </c>
      <c r="Q9" s="374" t="str">
        <f>IF(OR($D9="1 dd",$D9="2 dd",$D9="3 dd",$D9="4 dd",$D9="5 dd",$D9="6 dd",$D9="8 dd",$D9="12 dd",$D9="24 dd",$D9="an",$D9="zn"),VLOOKUP($D9,NeoTblTijden!$A$17:$Y$27,NeoTblTijden!K$15,FALSE),"")</f>
        <v/>
      </c>
      <c r="R9" s="93" t="str">
        <f>IF(OR($D9="1 dd",$D9="2 dd",$D9="3 dd",$D9="4 dd",$D9="5 dd",$D9="6 dd",$D9="8 dd",$D9="12 dd",$D9="24 dd",$D9="an",$D9="zn"),VLOOKUP($D9,NeoTblTijden!$A$17:$Y$27,NeoTblTijden!L$15,FALSE),"")</f>
        <v/>
      </c>
      <c r="S9" s="374" t="str">
        <f>IF(OR($D9="1 dd",$D9="2 dd",$D9="3 dd",$D9="4 dd",$D9="5 dd",$D9="6 dd",$D9="8 dd",$D9="12 dd",$D9="24 dd",$D9="an",$D9="zn"),VLOOKUP($D9,NeoTblTijden!$A$17:$Y$27,NeoTblTijden!M$15,FALSE),"")</f>
        <v/>
      </c>
      <c r="T9" s="93" t="str">
        <f>IF(OR($D9="1 dd",$D9="2 dd",$D9="3 dd",$D9="4 dd",$D9="5 dd",$D9="6 dd",$D9="8 dd",$D9="12 dd",$D9="24 dd",$D9="an",$D9="zn"),VLOOKUP($D9,NeoTblTijden!$A$17:$Y$27,NeoTblTijden!N$15,FALSE),"")</f>
        <v/>
      </c>
      <c r="U9" s="374" t="str">
        <f>IF(OR($D9="1 dd",$D9="2 dd",$D9="3 dd",$D9="4 dd",$D9="5 dd",$D9="6 dd",$D9="8 dd",$D9="12 dd",$D9="24 dd",$D9="an",$D9="zn"),VLOOKUP($D9,NeoTblTijden!$A$17:$Y$27,NeoTblTijden!O$15,FALSE),"")</f>
        <v/>
      </c>
      <c r="V9" s="93" t="str">
        <f>IF(OR($D9="1 dd",$D9="2 dd",$D9="3 dd",$D9="4 dd",$D9="5 dd",$D9="6 dd",$D9="8 dd",$D9="12 dd",$D9="24 dd",$D9="an",$D9="zn"),VLOOKUP($D9,NeoTblTijden!$A$17:$Y$27,NeoTblTijden!P$15,FALSE),"")</f>
        <v/>
      </c>
      <c r="W9" s="374" t="str">
        <f>IF(OR($D9="1 dd",$D9="2 dd",$D9="3 dd",$D9="4 dd",$D9="5 dd",$D9="6 dd",$D9="8 dd",$D9="12 dd",$D9="24 dd",$D9="an",$D9="zn"),VLOOKUP($D9,NeoTblTijden!$A$17:$Y$27,NeoTblTijden!Q$15,FALSE),"")</f>
        <v/>
      </c>
      <c r="X9" s="93" t="str">
        <f>IF(OR($D9="1 dd",$D9="2 dd",$D9="3 dd",$D9="4 dd",$D9="5 dd",$D9="6 dd",$D9="8 dd",$D9="12 dd",$D9="24 dd",$D9="an",$D9="zn"),VLOOKUP($D9,NeoTblTijden!$A$17:$Y$27,NeoTblTijden!R$15,FALSE),"")</f>
        <v/>
      </c>
      <c r="Y9" s="374" t="str">
        <f>IF(OR($D9="1 dd",$D9="2 dd",$D9="3 dd",$D9="4 dd",$D9="5 dd",$D9="6 dd",$D9="8 dd",$D9="12 dd",$D9="24 dd",$D9="an",$D9="zn"),VLOOKUP($D9,NeoTblTijden!$A$17:$Y$27,NeoTblTijden!S$15,FALSE),"")</f>
        <v/>
      </c>
      <c r="Z9" s="93" t="str">
        <f>IF(OR($D9="1 dd",$D9="2 dd",$D9="3 dd",$D9="4 dd",$D9="5 dd",$D9="6 dd",$D9="8 dd",$D9="12 dd",$D9="24 dd",$D9="an",$D9="zn"),VLOOKUP($D9,NeoTblTijden!$A$17:$Y$27,NeoTblTijden!T$15,FALSE),"")</f>
        <v/>
      </c>
      <c r="AA9" s="374" t="str">
        <f>IF(OR($D9="1 dd",$D9="2 dd",$D9="3 dd",$D9="4 dd",$D9="5 dd",$D9="6 dd",$D9="8 dd",$D9="12 dd",$D9="24 dd",$D9="an",$D9="zn"),VLOOKUP($D9,NeoTblTijden!$A$17:$Y$27,NeoTblTijden!U$15,FALSE),"")</f>
        <v/>
      </c>
      <c r="AB9" s="93" t="str">
        <f>IF(OR($D9="1 dd",$D9="2 dd",$D9="3 dd",$D9="4 dd",$D9="5 dd",$D9="6 dd",$D9="8 dd",$D9="12 dd",$D9="24 dd",$D9="an",$D9="zn"),VLOOKUP($D9,NeoTblTijden!$A$17:$Y$27,NeoTblTijden!V$15,FALSE),"")</f>
        <v/>
      </c>
      <c r="AC9" s="374" t="str">
        <f>IF(OR($D9="1 dd",$D9="2 dd",$D9="3 dd",$D9="4 dd",$D9="5 dd",$D9="6 dd",$D9="8 dd",$D9="12 dd",$D9="24 dd",$D9="an",$D9="zn"),VLOOKUP($D9,NeoTblTijden!$A$17:$Y$27,NeoTblTijden!W$15,FALSE),"")</f>
        <v/>
      </c>
      <c r="AD9" s="93" t="str">
        <f>IF(OR($D9="1 dd",$D9="2 dd",$D9="3 dd",$D9="4 dd",$D9="5 dd",$D9="6 dd",$D9="8 dd",$D9="12 dd",$D9="24 dd",$D9="an",$D9="zn"),VLOOKUP($D9,NeoTblTijden!$A$17:$Y$27,NeoTblTijden!X$15,FALSE),"")</f>
        <v/>
      </c>
      <c r="AE9" s="374" t="str">
        <f>IF(OR($D9="1 dd",$D9="2 dd",$D9="3 dd",$D9="4 dd",$D9="5 dd",$D9="6 dd",$D9="8 dd",$D9="12 dd",$D9="24 dd",$D9="an",$D9="zn"),VLOOKUP($D9,NeoTblTijden!$A$17:$Y$27,NeoTblTijden!Y$15,FALSE),"")</f>
        <v/>
      </c>
      <c r="AF9" s="92"/>
      <c r="AG9" s="14"/>
    </row>
    <row r="10" spans="1:33" ht="26.1" customHeight="1" x14ac:dyDescent="0.2">
      <c r="B10" s="94"/>
      <c r="C10" s="125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26" t="str">
        <f>IF(GlobGuiMedDisc!I16&lt;&gt;"",GlobGuiMedDisc!I16,"")</f>
        <v/>
      </c>
      <c r="E10" s="127" t="str">
        <f>IF(AND(D10&lt;&gt;"",D10&lt;&gt;"STOP"),GlobBerMedDisc!H9&amp;" "&amp;GlobBerMedDisc!F9,"")</f>
        <v/>
      </c>
      <c r="F10" s="127" t="str">
        <f>IF(AND(D10&lt;&gt;"",D10&lt;&gt;"STOP"),GlobBerMedDisc!L9," ")</f>
        <v xml:space="preserve"> </v>
      </c>
      <c r="G10" s="127" t="str">
        <f>IF(GlobGuiMedDisc!N16&lt;&gt;"",GlobGuiMedDisc!N16&amp;" "&amp;GlobGuiMedDisc!O16&amp;" "&amp;INDEX(GlobBerMedDisc!$B$27:$B$30,GlobBerMedDisc!O9,1)&amp;" in "&amp;GlobGuiMedDisc!$R$16,"")</f>
        <v/>
      </c>
      <c r="H10" s="93" t="str">
        <f>IF(OR($D10="1 dd",$D10="2 dd",$D10="3 dd",$D10="4 dd",$D10="5 dd",$D10="6 dd",$D10="8 dd",$D10="12 dd",$D10="24 dd",$D10="an",$D10="zn"),VLOOKUP($D10,NeoTblTijden!$A$17:$Y$27,NeoTblTijden!B$15,FALSE),"")</f>
        <v/>
      </c>
      <c r="I10" s="374" t="str">
        <f>IF(OR($D10="1 dd",$D10="2 dd",$D10="3 dd",$D10="4 dd",$D10="5 dd",$D10="6 dd",$D10="8 dd",$D10="12 dd",$D10="24 dd",$D10="an",$D10="zn"),VLOOKUP($D10,NeoTblTijden!$A$17:$Y$27,NeoTblTijden!C$15,FALSE),"")</f>
        <v/>
      </c>
      <c r="J10" s="93" t="str">
        <f>IF(OR($D10="1 dd",$D10="2 dd",$D10="3 dd",$D10="4 dd",$D10="5 dd",$D10="6 dd",$D10="8 dd",$D10="12 dd",$D10="24 dd",$D10="an",$D10="zn"),VLOOKUP($D10,NeoTblTijden!$A$17:$Y$27,NeoTblTijden!D$15,FALSE),"")</f>
        <v/>
      </c>
      <c r="K10" s="374" t="str">
        <f>IF(OR($D10="1 dd",$D10="2 dd",$D10="3 dd",$D10="4 dd",$D10="5 dd",$D10="6 dd",$D10="8 dd",$D10="12 dd",$D10="24 dd",$D10="an",$D10="zn"),VLOOKUP($D10,NeoTblTijden!$A$17:$Y$27,NeoTblTijden!E$15,FALSE),"")</f>
        <v/>
      </c>
      <c r="L10" s="93" t="str">
        <f>IF(OR($D10="1 dd",$D10="2 dd",$D10="3 dd",$D10="4 dd",$D10="5 dd",$D10="6 dd",$D10="8 dd",$D10="12 dd",$D10="24 dd",$D10="an",$D10="zn"),VLOOKUP($D10,NeoTblTijden!$A$17:$Y$27,NeoTblTijden!F$15,FALSE),"")</f>
        <v/>
      </c>
      <c r="M10" s="374" t="str">
        <f>IF(OR($D10="1 dd",$D10="2 dd",$D10="3 dd",$D10="4 dd",$D10="5 dd",$D10="6 dd",$D10="8 dd",$D10="12 dd",$D10="24 dd",$D10="an",$D10="zn"),VLOOKUP($D10,NeoTblTijden!$A$17:$Y$27,NeoTblTijden!G$15,FALSE),"")</f>
        <v/>
      </c>
      <c r="N10" s="93" t="str">
        <f>IF(OR($D10="1 dd",$D10="2 dd",$D10="3 dd",$D10="4 dd",$D10="5 dd",$D10="6 dd",$D10="8 dd",$D10="12 dd",$D10="24 dd",$D10="an",$D10="zn"),VLOOKUP($D10,NeoTblTijden!$A$17:$Y$27,NeoTblTijden!H$15,FALSE),"")</f>
        <v/>
      </c>
      <c r="O10" s="374" t="str">
        <f>IF(OR($D10="1 dd",$D10="2 dd",$D10="3 dd",$D10="4 dd",$D10="5 dd",$D10="6 dd",$D10="8 dd",$D10="12 dd",$D10="24 dd",$D10="an",$D10="zn"),VLOOKUP($D10,NeoTblTijden!$A$17:$Y$27,NeoTblTijden!I$15,FALSE),"")</f>
        <v/>
      </c>
      <c r="P10" s="93" t="str">
        <f>IF(OR($D10="1 dd",$D10="2 dd",$D10="3 dd",$D10="4 dd",$D10="5 dd",$D10="6 dd",$D10="8 dd",$D10="12 dd",$D10="24 dd",$D10="an",$D10="zn"),VLOOKUP($D10,NeoTblTijden!$A$17:$Y$27,NeoTblTijden!J$15,FALSE),"")</f>
        <v/>
      </c>
      <c r="Q10" s="374" t="str">
        <f>IF(OR($D10="1 dd",$D10="2 dd",$D10="3 dd",$D10="4 dd",$D10="5 dd",$D10="6 dd",$D10="8 dd",$D10="12 dd",$D10="24 dd",$D10="an",$D10="zn"),VLOOKUP($D10,NeoTblTijden!$A$17:$Y$27,NeoTblTijden!K$15,FALSE),"")</f>
        <v/>
      </c>
      <c r="R10" s="93" t="str">
        <f>IF(OR($D10="1 dd",$D10="2 dd",$D10="3 dd",$D10="4 dd",$D10="5 dd",$D10="6 dd",$D10="8 dd",$D10="12 dd",$D10="24 dd",$D10="an",$D10="zn"),VLOOKUP($D10,NeoTblTijden!$A$17:$Y$27,NeoTblTijden!L$15,FALSE),"")</f>
        <v/>
      </c>
      <c r="S10" s="374" t="str">
        <f>IF(OR($D10="1 dd",$D10="2 dd",$D10="3 dd",$D10="4 dd",$D10="5 dd",$D10="6 dd",$D10="8 dd",$D10="12 dd",$D10="24 dd",$D10="an",$D10="zn"),VLOOKUP($D10,NeoTblTijden!$A$17:$Y$27,NeoTblTijden!M$15,FALSE),"")</f>
        <v/>
      </c>
      <c r="T10" s="93" t="str">
        <f>IF(OR($D10="1 dd",$D10="2 dd",$D10="3 dd",$D10="4 dd",$D10="5 dd",$D10="6 dd",$D10="8 dd",$D10="12 dd",$D10="24 dd",$D10="an",$D10="zn"),VLOOKUP($D10,NeoTblTijden!$A$17:$Y$27,NeoTblTijden!N$15,FALSE),"")</f>
        <v/>
      </c>
      <c r="U10" s="374" t="str">
        <f>IF(OR($D10="1 dd",$D10="2 dd",$D10="3 dd",$D10="4 dd",$D10="5 dd",$D10="6 dd",$D10="8 dd",$D10="12 dd",$D10="24 dd",$D10="an",$D10="zn"),VLOOKUP($D10,NeoTblTijden!$A$17:$Y$27,NeoTblTijden!O$15,FALSE),"")</f>
        <v/>
      </c>
      <c r="V10" s="93" t="str">
        <f>IF(OR($D10="1 dd",$D10="2 dd",$D10="3 dd",$D10="4 dd",$D10="5 dd",$D10="6 dd",$D10="8 dd",$D10="12 dd",$D10="24 dd",$D10="an",$D10="zn"),VLOOKUP($D10,NeoTblTijden!$A$17:$Y$27,NeoTblTijden!P$15,FALSE),"")</f>
        <v/>
      </c>
      <c r="W10" s="374" t="str">
        <f>IF(OR($D10="1 dd",$D10="2 dd",$D10="3 dd",$D10="4 dd",$D10="5 dd",$D10="6 dd",$D10="8 dd",$D10="12 dd",$D10="24 dd",$D10="an",$D10="zn"),VLOOKUP($D10,NeoTblTijden!$A$17:$Y$27,NeoTblTijden!Q$15,FALSE),"")</f>
        <v/>
      </c>
      <c r="X10" s="93" t="str">
        <f>IF(OR($D10="1 dd",$D10="2 dd",$D10="3 dd",$D10="4 dd",$D10="5 dd",$D10="6 dd",$D10="8 dd",$D10="12 dd",$D10="24 dd",$D10="an",$D10="zn"),VLOOKUP($D10,NeoTblTijden!$A$17:$Y$27,NeoTblTijden!R$15,FALSE),"")</f>
        <v/>
      </c>
      <c r="Y10" s="374" t="str">
        <f>IF(OR($D10="1 dd",$D10="2 dd",$D10="3 dd",$D10="4 dd",$D10="5 dd",$D10="6 dd",$D10="8 dd",$D10="12 dd",$D10="24 dd",$D10="an",$D10="zn"),VLOOKUP($D10,NeoTblTijden!$A$17:$Y$27,NeoTblTijden!S$15,FALSE),"")</f>
        <v/>
      </c>
      <c r="Z10" s="93" t="str">
        <f>IF(OR($D10="1 dd",$D10="2 dd",$D10="3 dd",$D10="4 dd",$D10="5 dd",$D10="6 dd",$D10="8 dd",$D10="12 dd",$D10="24 dd",$D10="an",$D10="zn"),VLOOKUP($D10,NeoTblTijden!$A$17:$Y$27,NeoTblTijden!T$15,FALSE),"")</f>
        <v/>
      </c>
      <c r="AA10" s="374" t="str">
        <f>IF(OR($D10="1 dd",$D10="2 dd",$D10="3 dd",$D10="4 dd",$D10="5 dd",$D10="6 dd",$D10="8 dd",$D10="12 dd",$D10="24 dd",$D10="an",$D10="zn"),VLOOKUP($D10,NeoTblTijden!$A$17:$Y$27,NeoTblTijden!U$15,FALSE),"")</f>
        <v/>
      </c>
      <c r="AB10" s="93" t="str">
        <f>IF(OR($D10="1 dd",$D10="2 dd",$D10="3 dd",$D10="4 dd",$D10="5 dd",$D10="6 dd",$D10="8 dd",$D10="12 dd",$D10="24 dd",$D10="an",$D10="zn"),VLOOKUP($D10,NeoTblTijden!$A$17:$Y$27,NeoTblTijden!V$15,FALSE),"")</f>
        <v/>
      </c>
      <c r="AC10" s="374" t="str">
        <f>IF(OR($D10="1 dd",$D10="2 dd",$D10="3 dd",$D10="4 dd",$D10="5 dd",$D10="6 dd",$D10="8 dd",$D10="12 dd",$D10="24 dd",$D10="an",$D10="zn"),VLOOKUP($D10,NeoTblTijden!$A$17:$Y$27,NeoTblTijden!W$15,FALSE),"")</f>
        <v/>
      </c>
      <c r="AD10" s="93" t="str">
        <f>IF(OR($D10="1 dd",$D10="2 dd",$D10="3 dd",$D10="4 dd",$D10="5 dd",$D10="6 dd",$D10="8 dd",$D10="12 dd",$D10="24 dd",$D10="an",$D10="zn"),VLOOKUP($D10,NeoTblTijden!$A$17:$Y$27,NeoTblTijden!X$15,FALSE),"")</f>
        <v/>
      </c>
      <c r="AE10" s="374" t="str">
        <f>IF(OR($D10="1 dd",$D10="2 dd",$D10="3 dd",$D10="4 dd",$D10="5 dd",$D10="6 dd",$D10="8 dd",$D10="12 dd",$D10="24 dd",$D10="an",$D10="zn"),VLOOKUP($D10,NeoTblTijden!$A$17:$Y$27,NeoTblTijden!Y$15,FALSE),"")</f>
        <v/>
      </c>
      <c r="AF10" s="92"/>
      <c r="AG10" s="14"/>
    </row>
    <row r="11" spans="1:33" ht="26.1" customHeight="1" x14ac:dyDescent="0.2">
      <c r="B11" s="94"/>
      <c r="C11" s="125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26" t="str">
        <f>IF(GlobGuiMedDisc!I17&lt;&gt;"",GlobGuiMedDisc!I17,"")</f>
        <v/>
      </c>
      <c r="E11" s="127" t="str">
        <f>IF(AND(D11&lt;&gt;"",D11&lt;&gt;"STOP"),GlobBerMedDisc!H10&amp;" "&amp;GlobBerMedDisc!F10,"")</f>
        <v/>
      </c>
      <c r="F11" s="127" t="str">
        <f>IF(AND(D11&lt;&gt;"",D11&lt;&gt;"STOP"),GlobBerMedDisc!L10," ")</f>
        <v xml:space="preserve"> </v>
      </c>
      <c r="G11" s="127" t="str">
        <f>IF(GlobGuiMedDisc!N17&lt;&gt;"",GlobGuiMedDisc!N17&amp;" "&amp;GlobGuiMedDisc!O17&amp;" "&amp;INDEX(GlobBerMedDisc!$B$27:$B$30,GlobBerMedDisc!O10,1)&amp;" in "&amp;GlobGuiMedDisc!$R$17,"")</f>
        <v/>
      </c>
      <c r="H11" s="93" t="str">
        <f>IF(OR($D11="1 dd",$D11="2 dd",$D11="3 dd",$D11="4 dd",$D11="5 dd",$D11="6 dd",$D11="8 dd",$D11="12 dd",$D11="24 dd",$D11="an",$D11="zn"),VLOOKUP($D11,NeoTblTijden!$A$17:$Y$27,NeoTblTijden!B$15,FALSE),"")</f>
        <v/>
      </c>
      <c r="I11" s="374" t="str">
        <f>IF(OR($D11="1 dd",$D11="2 dd",$D11="3 dd",$D11="4 dd",$D11="5 dd",$D11="6 dd",$D11="8 dd",$D11="12 dd",$D11="24 dd",$D11="an",$D11="zn"),VLOOKUP($D11,NeoTblTijden!$A$17:$Y$27,NeoTblTijden!C$15,FALSE),"")</f>
        <v/>
      </c>
      <c r="J11" s="93" t="str">
        <f>IF(OR($D11="1 dd",$D11="2 dd",$D11="3 dd",$D11="4 dd",$D11="5 dd",$D11="6 dd",$D11="8 dd",$D11="12 dd",$D11="24 dd",$D11="an",$D11="zn"),VLOOKUP($D11,NeoTblTijden!$A$17:$Y$27,NeoTblTijden!D$15,FALSE),"")</f>
        <v/>
      </c>
      <c r="K11" s="374" t="str">
        <f>IF(OR($D11="1 dd",$D11="2 dd",$D11="3 dd",$D11="4 dd",$D11="5 dd",$D11="6 dd",$D11="8 dd",$D11="12 dd",$D11="24 dd",$D11="an",$D11="zn"),VLOOKUP($D11,NeoTblTijden!$A$17:$Y$27,NeoTblTijden!E$15,FALSE),"")</f>
        <v/>
      </c>
      <c r="L11" s="93" t="str">
        <f>IF(OR($D11="1 dd",$D11="2 dd",$D11="3 dd",$D11="4 dd",$D11="5 dd",$D11="6 dd",$D11="8 dd",$D11="12 dd",$D11="24 dd",$D11="an",$D11="zn"),VLOOKUP($D11,NeoTblTijden!$A$17:$Y$27,NeoTblTijden!F$15,FALSE),"")</f>
        <v/>
      </c>
      <c r="M11" s="374" t="str">
        <f>IF(OR($D11="1 dd",$D11="2 dd",$D11="3 dd",$D11="4 dd",$D11="5 dd",$D11="6 dd",$D11="8 dd",$D11="12 dd",$D11="24 dd",$D11="an",$D11="zn"),VLOOKUP($D11,NeoTblTijden!$A$17:$Y$27,NeoTblTijden!G$15,FALSE),"")</f>
        <v/>
      </c>
      <c r="N11" s="93" t="str">
        <f>IF(OR($D11="1 dd",$D11="2 dd",$D11="3 dd",$D11="4 dd",$D11="5 dd",$D11="6 dd",$D11="8 dd",$D11="12 dd",$D11="24 dd",$D11="an",$D11="zn"),VLOOKUP($D11,NeoTblTijden!$A$17:$Y$27,NeoTblTijden!H$15,FALSE),"")</f>
        <v/>
      </c>
      <c r="O11" s="374" t="str">
        <f>IF(OR($D11="1 dd",$D11="2 dd",$D11="3 dd",$D11="4 dd",$D11="5 dd",$D11="6 dd",$D11="8 dd",$D11="12 dd",$D11="24 dd",$D11="an",$D11="zn"),VLOOKUP($D11,NeoTblTijden!$A$17:$Y$27,NeoTblTijden!I$15,FALSE),"")</f>
        <v/>
      </c>
      <c r="P11" s="93" t="str">
        <f>IF(OR($D11="1 dd",$D11="2 dd",$D11="3 dd",$D11="4 dd",$D11="5 dd",$D11="6 dd",$D11="8 dd",$D11="12 dd",$D11="24 dd",$D11="an",$D11="zn"),VLOOKUP($D11,NeoTblTijden!$A$17:$Y$27,NeoTblTijden!J$15,FALSE),"")</f>
        <v/>
      </c>
      <c r="Q11" s="374" t="str">
        <f>IF(OR($D11="1 dd",$D11="2 dd",$D11="3 dd",$D11="4 dd",$D11="5 dd",$D11="6 dd",$D11="8 dd",$D11="12 dd",$D11="24 dd",$D11="an",$D11="zn"),VLOOKUP($D11,NeoTblTijden!$A$17:$Y$27,NeoTblTijden!K$15,FALSE),"")</f>
        <v/>
      </c>
      <c r="R11" s="93" t="str">
        <f>IF(OR($D11="1 dd",$D11="2 dd",$D11="3 dd",$D11="4 dd",$D11="5 dd",$D11="6 dd",$D11="8 dd",$D11="12 dd",$D11="24 dd",$D11="an",$D11="zn"),VLOOKUP($D11,NeoTblTijden!$A$17:$Y$27,NeoTblTijden!L$15,FALSE),"")</f>
        <v/>
      </c>
      <c r="S11" s="374" t="str">
        <f>IF(OR($D11="1 dd",$D11="2 dd",$D11="3 dd",$D11="4 dd",$D11="5 dd",$D11="6 dd",$D11="8 dd",$D11="12 dd",$D11="24 dd",$D11="an",$D11="zn"),VLOOKUP($D11,NeoTblTijden!$A$17:$Y$27,NeoTblTijden!M$15,FALSE),"")</f>
        <v/>
      </c>
      <c r="T11" s="93" t="str">
        <f>IF(OR($D11="1 dd",$D11="2 dd",$D11="3 dd",$D11="4 dd",$D11="5 dd",$D11="6 dd",$D11="8 dd",$D11="12 dd",$D11="24 dd",$D11="an",$D11="zn"),VLOOKUP($D11,NeoTblTijden!$A$17:$Y$27,NeoTblTijden!N$15,FALSE),"")</f>
        <v/>
      </c>
      <c r="U11" s="374" t="str">
        <f>IF(OR($D11="1 dd",$D11="2 dd",$D11="3 dd",$D11="4 dd",$D11="5 dd",$D11="6 dd",$D11="8 dd",$D11="12 dd",$D11="24 dd",$D11="an",$D11="zn"),VLOOKUP($D11,NeoTblTijden!$A$17:$Y$27,NeoTblTijden!O$15,FALSE),"")</f>
        <v/>
      </c>
      <c r="V11" s="93" t="str">
        <f>IF(OR($D11="1 dd",$D11="2 dd",$D11="3 dd",$D11="4 dd",$D11="5 dd",$D11="6 dd",$D11="8 dd",$D11="12 dd",$D11="24 dd",$D11="an",$D11="zn"),VLOOKUP($D11,NeoTblTijden!$A$17:$Y$27,NeoTblTijden!P$15,FALSE),"")</f>
        <v/>
      </c>
      <c r="W11" s="374" t="str">
        <f>IF(OR($D11="1 dd",$D11="2 dd",$D11="3 dd",$D11="4 dd",$D11="5 dd",$D11="6 dd",$D11="8 dd",$D11="12 dd",$D11="24 dd",$D11="an",$D11="zn"),VLOOKUP($D11,NeoTblTijden!$A$17:$Y$27,NeoTblTijden!Q$15,FALSE),"")</f>
        <v/>
      </c>
      <c r="X11" s="93" t="str">
        <f>IF(OR($D11="1 dd",$D11="2 dd",$D11="3 dd",$D11="4 dd",$D11="5 dd",$D11="6 dd",$D11="8 dd",$D11="12 dd",$D11="24 dd",$D11="an",$D11="zn"),VLOOKUP($D11,NeoTblTijden!$A$17:$Y$27,NeoTblTijden!R$15,FALSE),"")</f>
        <v/>
      </c>
      <c r="Y11" s="374" t="str">
        <f>IF(OR($D11="1 dd",$D11="2 dd",$D11="3 dd",$D11="4 dd",$D11="5 dd",$D11="6 dd",$D11="8 dd",$D11="12 dd",$D11="24 dd",$D11="an",$D11="zn"),VLOOKUP($D11,NeoTblTijden!$A$17:$Y$27,NeoTblTijden!S$15,FALSE),"")</f>
        <v/>
      </c>
      <c r="Z11" s="93" t="str">
        <f>IF(OR($D11="1 dd",$D11="2 dd",$D11="3 dd",$D11="4 dd",$D11="5 dd",$D11="6 dd",$D11="8 dd",$D11="12 dd",$D11="24 dd",$D11="an",$D11="zn"),VLOOKUP($D11,NeoTblTijden!$A$17:$Y$27,NeoTblTijden!T$15,FALSE),"")</f>
        <v/>
      </c>
      <c r="AA11" s="374" t="str">
        <f>IF(OR($D11="1 dd",$D11="2 dd",$D11="3 dd",$D11="4 dd",$D11="5 dd",$D11="6 dd",$D11="8 dd",$D11="12 dd",$D11="24 dd",$D11="an",$D11="zn"),VLOOKUP($D11,NeoTblTijden!$A$17:$Y$27,NeoTblTijden!U$15,FALSE),"")</f>
        <v/>
      </c>
      <c r="AB11" s="93" t="str">
        <f>IF(OR($D11="1 dd",$D11="2 dd",$D11="3 dd",$D11="4 dd",$D11="5 dd",$D11="6 dd",$D11="8 dd",$D11="12 dd",$D11="24 dd",$D11="an",$D11="zn"),VLOOKUP($D11,NeoTblTijden!$A$17:$Y$27,NeoTblTijden!V$15,FALSE),"")</f>
        <v/>
      </c>
      <c r="AC11" s="374" t="str">
        <f>IF(OR($D11="1 dd",$D11="2 dd",$D11="3 dd",$D11="4 dd",$D11="5 dd",$D11="6 dd",$D11="8 dd",$D11="12 dd",$D11="24 dd",$D11="an",$D11="zn"),VLOOKUP($D11,NeoTblTijden!$A$17:$Y$27,NeoTblTijden!W$15,FALSE),"")</f>
        <v/>
      </c>
      <c r="AD11" s="93" t="str">
        <f>IF(OR($D11="1 dd",$D11="2 dd",$D11="3 dd",$D11="4 dd",$D11="5 dd",$D11="6 dd",$D11="8 dd",$D11="12 dd",$D11="24 dd",$D11="an",$D11="zn"),VLOOKUP($D11,NeoTblTijden!$A$17:$Y$27,NeoTblTijden!X$15,FALSE),"")</f>
        <v/>
      </c>
      <c r="AE11" s="374" t="str">
        <f>IF(OR($D11="1 dd",$D11="2 dd",$D11="3 dd",$D11="4 dd",$D11="5 dd",$D11="6 dd",$D11="8 dd",$D11="12 dd",$D11="24 dd",$D11="an",$D11="zn"),VLOOKUP($D11,NeoTblTijden!$A$17:$Y$27,NeoTblTijden!Y$15,FALSE),"")</f>
        <v/>
      </c>
      <c r="AF11" s="92"/>
      <c r="AG11" s="14"/>
    </row>
    <row r="12" spans="1:33" ht="26.1" customHeight="1" x14ac:dyDescent="0.2">
      <c r="B12" s="94"/>
      <c r="C12" s="125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26" t="str">
        <f>IF(GlobGuiMedDisc!I18&lt;&gt;"",GlobGuiMedDisc!I18,"")</f>
        <v/>
      </c>
      <c r="E12" s="127" t="str">
        <f>IF(AND(D12&lt;&gt;"",D12&lt;&gt;"STOP"),GlobBerMedDisc!H11&amp;" "&amp;GlobBerMedDisc!F11,"")</f>
        <v/>
      </c>
      <c r="F12" s="127" t="str">
        <f>IF(AND(D12&lt;&gt;"",D12&lt;&gt;"STOP"),GlobBerMedDisc!L11," ")</f>
        <v xml:space="preserve"> </v>
      </c>
      <c r="G12" s="127" t="str">
        <f>IF(GlobGuiMedDisc!N18&lt;&gt;"",GlobGuiMedDisc!N18&amp;" "&amp;GlobGuiMedDisc!O18&amp;" "&amp;INDEX(GlobBerMedDisc!$B$27:$B$30,GlobBerMedDisc!O11,1)&amp;" in "&amp;GlobGuiMedDisc!$Q$1377,"")</f>
        <v/>
      </c>
      <c r="H12" s="93" t="str">
        <f>IF(OR($D12="1 dd",$D12="2 dd",$D12="3 dd",$D12="4 dd",$D12="5 dd",$D12="6 dd",$D12="8 dd",$D12="12 dd",$D12="24 dd",$D12="an",$D12="zn"),VLOOKUP($D12,NeoTblTijden!$A$17:$Y$27,NeoTblTijden!B$15,FALSE),"")</f>
        <v/>
      </c>
      <c r="I12" s="374" t="str">
        <f>IF(OR($D12="1 dd",$D12="2 dd",$D12="3 dd",$D12="4 dd",$D12="5 dd",$D12="6 dd",$D12="8 dd",$D12="12 dd",$D12="24 dd",$D12="an",$D12="zn"),VLOOKUP($D12,NeoTblTijden!$A$17:$Y$27,NeoTblTijden!C$15,FALSE),"")</f>
        <v/>
      </c>
      <c r="J12" s="93" t="str">
        <f>IF(OR($D12="1 dd",$D12="2 dd",$D12="3 dd",$D12="4 dd",$D12="5 dd",$D12="6 dd",$D12="8 dd",$D12="12 dd",$D12="24 dd",$D12="an",$D12="zn"),VLOOKUP($D12,NeoTblTijden!$A$17:$Y$27,NeoTblTijden!D$15,FALSE),"")</f>
        <v/>
      </c>
      <c r="K12" s="374" t="str">
        <f>IF(OR($D12="1 dd",$D12="2 dd",$D12="3 dd",$D12="4 dd",$D12="5 dd",$D12="6 dd",$D12="8 dd",$D12="12 dd",$D12="24 dd",$D12="an",$D12="zn"),VLOOKUP($D12,NeoTblTijden!$A$17:$Y$27,NeoTblTijden!E$15,FALSE),"")</f>
        <v/>
      </c>
      <c r="L12" s="93" t="str">
        <f>IF(OR($D12="1 dd",$D12="2 dd",$D12="3 dd",$D12="4 dd",$D12="5 dd",$D12="6 dd",$D12="8 dd",$D12="12 dd",$D12="24 dd",$D12="an",$D12="zn"),VLOOKUP($D12,NeoTblTijden!$A$17:$Y$27,NeoTblTijden!F$15,FALSE),"")</f>
        <v/>
      </c>
      <c r="M12" s="374" t="str">
        <f>IF(OR($D12="1 dd",$D12="2 dd",$D12="3 dd",$D12="4 dd",$D12="5 dd",$D12="6 dd",$D12="8 dd",$D12="12 dd",$D12="24 dd",$D12="an",$D12="zn"),VLOOKUP($D12,NeoTblTijden!$A$17:$Y$27,NeoTblTijden!G$15,FALSE),"")</f>
        <v/>
      </c>
      <c r="N12" s="93" t="str">
        <f>IF(OR($D12="1 dd",$D12="2 dd",$D12="3 dd",$D12="4 dd",$D12="5 dd",$D12="6 dd",$D12="8 dd",$D12="12 dd",$D12="24 dd",$D12="an",$D12="zn"),VLOOKUP($D12,NeoTblTijden!$A$17:$Y$27,NeoTblTijden!H$15,FALSE),"")</f>
        <v/>
      </c>
      <c r="O12" s="374" t="str">
        <f>IF(OR($D12="1 dd",$D12="2 dd",$D12="3 dd",$D12="4 dd",$D12="5 dd",$D12="6 dd",$D12="8 dd",$D12="12 dd",$D12="24 dd",$D12="an",$D12="zn"),VLOOKUP($D12,NeoTblTijden!$A$17:$Y$27,NeoTblTijden!I$15,FALSE),"")</f>
        <v/>
      </c>
      <c r="P12" s="93" t="str">
        <f>IF(OR($D12="1 dd",$D12="2 dd",$D12="3 dd",$D12="4 dd",$D12="5 dd",$D12="6 dd",$D12="8 dd",$D12="12 dd",$D12="24 dd",$D12="an",$D12="zn"),VLOOKUP($D12,NeoTblTijden!$A$17:$Y$27,NeoTblTijden!J$15,FALSE),"")</f>
        <v/>
      </c>
      <c r="Q12" s="374" t="str">
        <f>IF(OR($D12="1 dd",$D12="2 dd",$D12="3 dd",$D12="4 dd",$D12="5 dd",$D12="6 dd",$D12="8 dd",$D12="12 dd",$D12="24 dd",$D12="an",$D12="zn"),VLOOKUP($D12,NeoTblTijden!$A$17:$Y$27,NeoTblTijden!K$15,FALSE),"")</f>
        <v/>
      </c>
      <c r="R12" s="93" t="str">
        <f>IF(OR($D12="1 dd",$D12="2 dd",$D12="3 dd",$D12="4 dd",$D12="5 dd",$D12="6 dd",$D12="8 dd",$D12="12 dd",$D12="24 dd",$D12="an",$D12="zn"),VLOOKUP($D12,NeoTblTijden!$A$17:$Y$27,NeoTblTijden!L$15,FALSE),"")</f>
        <v/>
      </c>
      <c r="S12" s="374" t="str">
        <f>IF(OR($D12="1 dd",$D12="2 dd",$D12="3 dd",$D12="4 dd",$D12="5 dd",$D12="6 dd",$D12="8 dd",$D12="12 dd",$D12="24 dd",$D12="an",$D12="zn"),VLOOKUP($D12,NeoTblTijden!$A$17:$Y$27,NeoTblTijden!M$15,FALSE),"")</f>
        <v/>
      </c>
      <c r="T12" s="93" t="str">
        <f>IF(OR($D12="1 dd",$D12="2 dd",$D12="3 dd",$D12="4 dd",$D12="5 dd",$D12="6 dd",$D12="8 dd",$D12="12 dd",$D12="24 dd",$D12="an",$D12="zn"),VLOOKUP($D12,NeoTblTijden!$A$17:$Y$27,NeoTblTijden!N$15,FALSE),"")</f>
        <v/>
      </c>
      <c r="U12" s="374" t="str">
        <f>IF(OR($D12="1 dd",$D12="2 dd",$D12="3 dd",$D12="4 dd",$D12="5 dd",$D12="6 dd",$D12="8 dd",$D12="12 dd",$D12="24 dd",$D12="an",$D12="zn"),VLOOKUP($D12,NeoTblTijden!$A$17:$Y$27,NeoTblTijden!O$15,FALSE),"")</f>
        <v/>
      </c>
      <c r="V12" s="93" t="str">
        <f>IF(OR($D12="1 dd",$D12="2 dd",$D12="3 dd",$D12="4 dd",$D12="5 dd",$D12="6 dd",$D12="8 dd",$D12="12 dd",$D12="24 dd",$D12="an",$D12="zn"),VLOOKUP($D12,NeoTblTijden!$A$17:$Y$27,NeoTblTijden!P$15,FALSE),"")</f>
        <v/>
      </c>
      <c r="W12" s="374" t="str">
        <f>IF(OR($D12="1 dd",$D12="2 dd",$D12="3 dd",$D12="4 dd",$D12="5 dd",$D12="6 dd",$D12="8 dd",$D12="12 dd",$D12="24 dd",$D12="an",$D12="zn"),VLOOKUP($D12,NeoTblTijden!$A$17:$Y$27,NeoTblTijden!Q$15,FALSE),"")</f>
        <v/>
      </c>
      <c r="X12" s="93" t="str">
        <f>IF(OR($D12="1 dd",$D12="2 dd",$D12="3 dd",$D12="4 dd",$D12="5 dd",$D12="6 dd",$D12="8 dd",$D12="12 dd",$D12="24 dd",$D12="an",$D12="zn"),VLOOKUP($D12,NeoTblTijden!$A$17:$Y$27,NeoTblTijden!R$15,FALSE),"")</f>
        <v/>
      </c>
      <c r="Y12" s="374" t="str">
        <f>IF(OR($D12="1 dd",$D12="2 dd",$D12="3 dd",$D12="4 dd",$D12="5 dd",$D12="6 dd",$D12="8 dd",$D12="12 dd",$D12="24 dd",$D12="an",$D12="zn"),VLOOKUP($D12,NeoTblTijden!$A$17:$Y$27,NeoTblTijden!S$15,FALSE),"")</f>
        <v/>
      </c>
      <c r="Z12" s="93" t="str">
        <f>IF(OR($D12="1 dd",$D12="2 dd",$D12="3 dd",$D12="4 dd",$D12="5 dd",$D12="6 dd",$D12="8 dd",$D12="12 dd",$D12="24 dd",$D12="an",$D12="zn"),VLOOKUP($D12,NeoTblTijden!$A$17:$Y$27,NeoTblTijden!T$15,FALSE),"")</f>
        <v/>
      </c>
      <c r="AA12" s="374" t="str">
        <f>IF(OR($D12="1 dd",$D12="2 dd",$D12="3 dd",$D12="4 dd",$D12="5 dd",$D12="6 dd",$D12="8 dd",$D12="12 dd",$D12="24 dd",$D12="an",$D12="zn"),VLOOKUP($D12,NeoTblTijden!$A$17:$Y$27,NeoTblTijden!U$15,FALSE),"")</f>
        <v/>
      </c>
      <c r="AB12" s="93" t="str">
        <f>IF(OR($D12="1 dd",$D12="2 dd",$D12="3 dd",$D12="4 dd",$D12="5 dd",$D12="6 dd",$D12="8 dd",$D12="12 dd",$D12="24 dd",$D12="an",$D12="zn"),VLOOKUP($D12,NeoTblTijden!$A$17:$Y$27,NeoTblTijden!V$15,FALSE),"")</f>
        <v/>
      </c>
      <c r="AC12" s="374" t="str">
        <f>IF(OR($D12="1 dd",$D12="2 dd",$D12="3 dd",$D12="4 dd",$D12="5 dd",$D12="6 dd",$D12="8 dd",$D12="12 dd",$D12="24 dd",$D12="an",$D12="zn"),VLOOKUP($D12,NeoTblTijden!$A$17:$Y$27,NeoTblTijden!W$15,FALSE),"")</f>
        <v/>
      </c>
      <c r="AD12" s="93" t="str">
        <f>IF(OR($D12="1 dd",$D12="2 dd",$D12="3 dd",$D12="4 dd",$D12="5 dd",$D12="6 dd",$D12="8 dd",$D12="12 dd",$D12="24 dd",$D12="an",$D12="zn"),VLOOKUP($D12,NeoTblTijden!$A$17:$Y$27,NeoTblTijden!X$15,FALSE),"")</f>
        <v/>
      </c>
      <c r="AE12" s="374" t="str">
        <f>IF(OR($D12="1 dd",$D12="2 dd",$D12="3 dd",$D12="4 dd",$D12="5 dd",$D12="6 dd",$D12="8 dd",$D12="12 dd",$D12="24 dd",$D12="an",$D12="zn"),VLOOKUP($D12,NeoTblTijden!$A$17:$Y$27,NeoTblTijden!Y$15,FALSE),"")</f>
        <v/>
      </c>
      <c r="AF12" s="92"/>
      <c r="AG12" s="14"/>
    </row>
    <row r="13" spans="1:33" ht="26.1" customHeight="1" x14ac:dyDescent="0.2">
      <c r="B13" s="94"/>
      <c r="C13" s="125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26" t="str">
        <f>IF(GlobGuiMedDisc!I19&lt;&gt;"",GlobGuiMedDisc!I19,"")</f>
        <v/>
      </c>
      <c r="E13" s="127" t="str">
        <f>IF(AND(D13&lt;&gt;"",D13&lt;&gt;"STOP"),GlobBerMedDisc!H12&amp;" "&amp;GlobBerMedDisc!F12,"")</f>
        <v/>
      </c>
      <c r="F13" s="127" t="str">
        <f>IF(AND(D13&lt;&gt;"",D13&lt;&gt;"STOP"),GlobBerMedDisc!L12," ")</f>
        <v xml:space="preserve"> </v>
      </c>
      <c r="G13" s="127" t="str">
        <f>IF(GlobGuiMedDisc!N19&lt;&gt;"",GlobGuiMedDisc!N19&amp;" "&amp;GlobGuiMedDisc!O19&amp;" "&amp;INDEX(GlobBerMedDisc!$B$27:$B$30,GlobBerMedDisc!O12,1)&amp;" in "&amp;GlobGuiMedDisc!$R$19,"")</f>
        <v/>
      </c>
      <c r="H13" s="93" t="str">
        <f>IF(OR($D13="1 dd",$D13="2 dd",$D13="3 dd",$D13="4 dd",$D13="5 dd",$D13="6 dd",$D13="8 dd",$D13="12 dd",$D13="24 dd",$D13="an",$D13="zn"),VLOOKUP($D13,NeoTblTijden!$A$17:$Y$27,NeoTblTijden!B$15,FALSE),"")</f>
        <v/>
      </c>
      <c r="I13" s="374" t="str">
        <f>IF(OR($D13="1 dd",$D13="2 dd",$D13="3 dd",$D13="4 dd",$D13="5 dd",$D13="6 dd",$D13="8 dd",$D13="12 dd",$D13="24 dd",$D13="an",$D13="zn"),VLOOKUP($D13,NeoTblTijden!$A$17:$Y$27,NeoTblTijden!C$15,FALSE),"")</f>
        <v/>
      </c>
      <c r="J13" s="93" t="str">
        <f>IF(OR($D13="1 dd",$D13="2 dd",$D13="3 dd",$D13="4 dd",$D13="5 dd",$D13="6 dd",$D13="8 dd",$D13="12 dd",$D13="24 dd",$D13="an",$D13="zn"),VLOOKUP($D13,NeoTblTijden!$A$17:$Y$27,NeoTblTijden!D$15,FALSE),"")</f>
        <v/>
      </c>
      <c r="K13" s="374" t="str">
        <f>IF(OR($D13="1 dd",$D13="2 dd",$D13="3 dd",$D13="4 dd",$D13="5 dd",$D13="6 dd",$D13="8 dd",$D13="12 dd",$D13="24 dd",$D13="an",$D13="zn"),VLOOKUP($D13,NeoTblTijden!$A$17:$Y$27,NeoTblTijden!E$15,FALSE),"")</f>
        <v/>
      </c>
      <c r="L13" s="93" t="str">
        <f>IF(OR($D13="1 dd",$D13="2 dd",$D13="3 dd",$D13="4 dd",$D13="5 dd",$D13="6 dd",$D13="8 dd",$D13="12 dd",$D13="24 dd",$D13="an",$D13="zn"),VLOOKUP($D13,NeoTblTijden!$A$17:$Y$27,NeoTblTijden!F$15,FALSE),"")</f>
        <v/>
      </c>
      <c r="M13" s="374" t="str">
        <f>IF(OR($D13="1 dd",$D13="2 dd",$D13="3 dd",$D13="4 dd",$D13="5 dd",$D13="6 dd",$D13="8 dd",$D13="12 dd",$D13="24 dd",$D13="an",$D13="zn"),VLOOKUP($D13,NeoTblTijden!$A$17:$Y$27,NeoTblTijden!G$15,FALSE),"")</f>
        <v/>
      </c>
      <c r="N13" s="93" t="str">
        <f>IF(OR($D13="1 dd",$D13="2 dd",$D13="3 dd",$D13="4 dd",$D13="5 dd",$D13="6 dd",$D13="8 dd",$D13="12 dd",$D13="24 dd",$D13="an",$D13="zn"),VLOOKUP($D13,NeoTblTijden!$A$17:$Y$27,NeoTblTijden!H$15,FALSE),"")</f>
        <v/>
      </c>
      <c r="O13" s="374" t="str">
        <f>IF(OR($D13="1 dd",$D13="2 dd",$D13="3 dd",$D13="4 dd",$D13="5 dd",$D13="6 dd",$D13="8 dd",$D13="12 dd",$D13="24 dd",$D13="an",$D13="zn"),VLOOKUP($D13,NeoTblTijden!$A$17:$Y$27,NeoTblTijden!I$15,FALSE),"")</f>
        <v/>
      </c>
      <c r="P13" s="93" t="str">
        <f>IF(OR($D13="1 dd",$D13="2 dd",$D13="3 dd",$D13="4 dd",$D13="5 dd",$D13="6 dd",$D13="8 dd",$D13="12 dd",$D13="24 dd",$D13="an",$D13="zn"),VLOOKUP($D13,NeoTblTijden!$A$17:$Y$27,NeoTblTijden!J$15,FALSE),"")</f>
        <v/>
      </c>
      <c r="Q13" s="374" t="str">
        <f>IF(OR($D13="1 dd",$D13="2 dd",$D13="3 dd",$D13="4 dd",$D13="5 dd",$D13="6 dd",$D13="8 dd",$D13="12 dd",$D13="24 dd",$D13="an",$D13="zn"),VLOOKUP($D13,NeoTblTijden!$A$17:$Y$27,NeoTblTijden!K$15,FALSE),"")</f>
        <v/>
      </c>
      <c r="R13" s="93" t="str">
        <f>IF(OR($D13="1 dd",$D13="2 dd",$D13="3 dd",$D13="4 dd",$D13="5 dd",$D13="6 dd",$D13="8 dd",$D13="12 dd",$D13="24 dd",$D13="an",$D13="zn"),VLOOKUP($D13,NeoTblTijden!$A$17:$Y$27,NeoTblTijden!L$15,FALSE),"")</f>
        <v/>
      </c>
      <c r="S13" s="374" t="str">
        <f>IF(OR($D13="1 dd",$D13="2 dd",$D13="3 dd",$D13="4 dd",$D13="5 dd",$D13="6 dd",$D13="8 dd",$D13="12 dd",$D13="24 dd",$D13="an",$D13="zn"),VLOOKUP($D13,NeoTblTijden!$A$17:$Y$27,NeoTblTijden!M$15,FALSE),"")</f>
        <v/>
      </c>
      <c r="T13" s="93" t="str">
        <f>IF(OR($D13="1 dd",$D13="2 dd",$D13="3 dd",$D13="4 dd",$D13="5 dd",$D13="6 dd",$D13="8 dd",$D13="12 dd",$D13="24 dd",$D13="an",$D13="zn"),VLOOKUP($D13,NeoTblTijden!$A$17:$Y$27,NeoTblTijden!N$15,FALSE),"")</f>
        <v/>
      </c>
      <c r="U13" s="374" t="str">
        <f>IF(OR($D13="1 dd",$D13="2 dd",$D13="3 dd",$D13="4 dd",$D13="5 dd",$D13="6 dd",$D13="8 dd",$D13="12 dd",$D13="24 dd",$D13="an",$D13="zn"),VLOOKUP($D13,NeoTblTijden!$A$17:$Y$27,NeoTblTijden!O$15,FALSE),"")</f>
        <v/>
      </c>
      <c r="V13" s="93" t="str">
        <f>IF(OR($D13="1 dd",$D13="2 dd",$D13="3 dd",$D13="4 dd",$D13="5 dd",$D13="6 dd",$D13="8 dd",$D13="12 dd",$D13="24 dd",$D13="an",$D13="zn"),VLOOKUP($D13,NeoTblTijden!$A$17:$Y$27,NeoTblTijden!P$15,FALSE),"")</f>
        <v/>
      </c>
      <c r="W13" s="374" t="str">
        <f>IF(OR($D13="1 dd",$D13="2 dd",$D13="3 dd",$D13="4 dd",$D13="5 dd",$D13="6 dd",$D13="8 dd",$D13="12 dd",$D13="24 dd",$D13="an",$D13="zn"),VLOOKUP($D13,NeoTblTijden!$A$17:$Y$27,NeoTblTijden!Q$15,FALSE),"")</f>
        <v/>
      </c>
      <c r="X13" s="93" t="str">
        <f>IF(OR($D13="1 dd",$D13="2 dd",$D13="3 dd",$D13="4 dd",$D13="5 dd",$D13="6 dd",$D13="8 dd",$D13="12 dd",$D13="24 dd",$D13="an",$D13="zn"),VLOOKUP($D13,NeoTblTijden!$A$17:$Y$27,NeoTblTijden!R$15,FALSE),"")</f>
        <v/>
      </c>
      <c r="Y13" s="374" t="str">
        <f>IF(OR($D13="1 dd",$D13="2 dd",$D13="3 dd",$D13="4 dd",$D13="5 dd",$D13="6 dd",$D13="8 dd",$D13="12 dd",$D13="24 dd",$D13="an",$D13="zn"),VLOOKUP($D13,NeoTblTijden!$A$17:$Y$27,NeoTblTijden!S$15,FALSE),"")</f>
        <v/>
      </c>
      <c r="Z13" s="93" t="str">
        <f>IF(OR($D13="1 dd",$D13="2 dd",$D13="3 dd",$D13="4 dd",$D13="5 dd",$D13="6 dd",$D13="8 dd",$D13="12 dd",$D13="24 dd",$D13="an",$D13="zn"),VLOOKUP($D13,NeoTblTijden!$A$17:$Y$27,NeoTblTijden!T$15,FALSE),"")</f>
        <v/>
      </c>
      <c r="AA13" s="374" t="str">
        <f>IF(OR($D13="1 dd",$D13="2 dd",$D13="3 dd",$D13="4 dd",$D13="5 dd",$D13="6 dd",$D13="8 dd",$D13="12 dd",$D13="24 dd",$D13="an",$D13="zn"),VLOOKUP($D13,NeoTblTijden!$A$17:$Y$27,NeoTblTijden!U$15,FALSE),"")</f>
        <v/>
      </c>
      <c r="AB13" s="93" t="str">
        <f>IF(OR($D13="1 dd",$D13="2 dd",$D13="3 dd",$D13="4 dd",$D13="5 dd",$D13="6 dd",$D13="8 dd",$D13="12 dd",$D13="24 dd",$D13="an",$D13="zn"),VLOOKUP($D13,NeoTblTijden!$A$17:$Y$27,NeoTblTijden!V$15,FALSE),"")</f>
        <v/>
      </c>
      <c r="AC13" s="374" t="str">
        <f>IF(OR($D13="1 dd",$D13="2 dd",$D13="3 dd",$D13="4 dd",$D13="5 dd",$D13="6 dd",$D13="8 dd",$D13="12 dd",$D13="24 dd",$D13="an",$D13="zn"),VLOOKUP($D13,NeoTblTijden!$A$17:$Y$27,NeoTblTijden!W$15,FALSE),"")</f>
        <v/>
      </c>
      <c r="AD13" s="93" t="str">
        <f>IF(OR($D13="1 dd",$D13="2 dd",$D13="3 dd",$D13="4 dd",$D13="5 dd",$D13="6 dd",$D13="8 dd",$D13="12 dd",$D13="24 dd",$D13="an",$D13="zn"),VLOOKUP($D13,NeoTblTijden!$A$17:$Y$27,NeoTblTijden!X$15,FALSE),"")</f>
        <v/>
      </c>
      <c r="AE13" s="374" t="str">
        <f>IF(OR($D13="1 dd",$D13="2 dd",$D13="3 dd",$D13="4 dd",$D13="5 dd",$D13="6 dd",$D13="8 dd",$D13="12 dd",$D13="24 dd",$D13="an",$D13="zn"),VLOOKUP($D13,NeoTblTijden!$A$17:$Y$27,NeoTblTijden!Y$15,FALSE),"")</f>
        <v/>
      </c>
      <c r="AF13" s="92"/>
      <c r="AG13" s="14"/>
    </row>
    <row r="14" spans="1:33" ht="26.1" customHeight="1" x14ac:dyDescent="0.2">
      <c r="B14" s="94"/>
      <c r="C14" s="125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26" t="str">
        <f>IF(GlobGuiMedDisc!I20&lt;&gt;"",GlobGuiMedDisc!I20,"")</f>
        <v/>
      </c>
      <c r="E14" s="127" t="str">
        <f>IF(AND(D14&lt;&gt;"",D14&lt;&gt;"STOP"),GlobBerMedDisc!H13&amp;" "&amp;GlobBerMedDisc!F13,"")</f>
        <v/>
      </c>
      <c r="F14" s="127" t="str">
        <f>IF(AND(D14&lt;&gt;"",D14&lt;&gt;"STOP"),GlobBerMedDisc!L13," ")</f>
        <v xml:space="preserve"> </v>
      </c>
      <c r="G14" s="127" t="str">
        <f>IF(GlobGuiMedDisc!N20&lt;&gt;"",GlobGuiMedDisc!N20&amp;" "&amp;GlobGuiMedDisc!O20&amp;" "&amp;INDEX(GlobBerMedDisc!$B$27:$B$30,GlobBerMedDisc!O13,1)&amp;" in "&amp;GlobGuiMedDisc!$R$20,"")</f>
        <v/>
      </c>
      <c r="H14" s="93" t="str">
        <f>IF(OR($D14="1 dd",$D14="2 dd",$D14="3 dd",$D14="4 dd",$D14="6 dd",$D14="8 dd",$D14="12 dd",$D14="an",$D14="1 X"),VLOOKUP($D14,PedTblTijden!$A$16:$X$26,PedTblTijden!B$14,FALSE),"")</f>
        <v/>
      </c>
      <c r="I14" s="12" t="str">
        <f>IF(OR($D14="1 dd",$D14="2 dd",$D14="3 dd",$D14="4 dd",$D14="6 dd",$D14="8 dd",$D14="12 dd",$D14="an",$D14="1 X"),VLOOKUP($D14,PedTblTijden!$A$16:$X$26,PedTblTijden!C$14,FALSE),"")</f>
        <v/>
      </c>
      <c r="J14" s="93" t="str">
        <f>IF(OR($D14="1 dd",$D14="2 dd",$D14="3 dd",$D14="4 dd",$D14="6 dd",$D14="8 dd",$D14="12 dd",$D14="an",$D14="1 X"),VLOOKUP($D14,PedTblTijden!$A$16:$X$26,PedTblTijden!D$14,FALSE),"")</f>
        <v/>
      </c>
      <c r="K14" s="12" t="str">
        <f>IF(OR($D14="1 dd",$D14="2 dd",$D14="3 dd",$D14="4 dd",$D14="6 dd",$D14="8 dd",$D14="12 dd",$D14="an",$D14="1 X"),VLOOKUP($D14,PedTblTijden!$A$16:$X$26,PedTblTijden!E$14,FALSE),"")</f>
        <v/>
      </c>
      <c r="L14" s="93" t="str">
        <f>IF(OR($D14="1 dd",$D14="2 dd",$D14="3 dd",$D14="4 dd",$D14="6 dd",$D14="8 dd",$D14="12 dd",$D14="an",$D14="1 X"),VLOOKUP($D14,PedTblTijden!$A$16:$X$26,PedTblTijden!F$14,FALSE),"")</f>
        <v/>
      </c>
      <c r="M14" s="12" t="str">
        <f>IF(OR($D14="1 dd",$D14="2 dd",$D14="3 dd",$D14="4 dd",$D14="6 dd",$D14="8 dd",$D14="12 dd",$D14="an",$D14="1 X"),VLOOKUP($D14,PedTblTijden!$A$16:$X$26,PedTblTijden!G$14,FALSE),"")</f>
        <v/>
      </c>
      <c r="N14" s="93" t="str">
        <f>IF(OR($D14="1 dd",$D14="2 dd",$D14="3 dd",$D14="4 dd",$D14="6 dd",$D14="8 dd",$D14="12 dd",$D14="an",$D14="1 X"),VLOOKUP($D14,PedTblTijden!$A$16:$X$26,PedTblTijden!H$14,FALSE),"")</f>
        <v/>
      </c>
      <c r="O14" s="12" t="str">
        <f>IF(OR($D14="1 dd",$D14="2 dd",$D14="3 dd",$D14="4 dd",$D14="6 dd",$D14="8 dd",$D14="12 dd",$D14="an",$D14="1 X"),VLOOKUP($D14,PedTblTijden!$A$16:$X$26,PedTblTijden!I$14,FALSE),"")</f>
        <v/>
      </c>
      <c r="P14" s="93" t="str">
        <f>IF(OR($D14="1 dd",$D14="2 dd",$D14="3 dd",$D14="4 dd",$D14="6 dd",$D14="8 dd",$D14="12 dd",$D14="an",$D14="1 X"),VLOOKUP($D14,PedTblTijden!$A$16:$X$26,PedTblTijden!J$14,FALSE),"")</f>
        <v/>
      </c>
      <c r="Q14" s="12" t="str">
        <f>IF(OR($D14="1 dd",$D14="2 dd",$D14="3 dd",$D14="4 dd",$D14="6 dd",$D14="8 dd",$D14="12 dd",$D14="an",$D14="1 X"),VLOOKUP($D14,PedTblTijden!$A$16:$X$26,PedTblTijden!K$14,FALSE),"")</f>
        <v/>
      </c>
      <c r="R14" s="93" t="str">
        <f>IF(OR($D14="1 dd",$D14="2 dd",$D14="3 dd",$D14="4 dd",$D14="6 dd",$D14="8 dd",$D14="12 dd",$D14="an",$D14="1 X"),VLOOKUP($D14,PedTblTijden!$A$16:$X$26,PedTblTijden!L$14,FALSE),"")</f>
        <v/>
      </c>
      <c r="S14" s="12" t="str">
        <f>IF(OR($D14="1 dd",$D14="2 dd",$D14="3 dd",$D14="4 dd",$D14="6 dd",$D14="8 dd",$D14="12 dd",$D14="an",$D14="1 X"),VLOOKUP($D14,PedTblTijden!$A$16:$X$26,PedTblTijden!M$14,FALSE),"")</f>
        <v/>
      </c>
      <c r="T14" s="93" t="str">
        <f>IF(OR($D14="1 dd",$D14="2 dd",$D14="3 dd",$D14="4 dd",$D14="6 dd",$D14="8 dd",$D14="12 dd",$D14="an",$D14="1 X"),VLOOKUP($D14,PedTblTijden!$A$16:$X$26,PedTblTijden!N$14,FALSE),"")</f>
        <v/>
      </c>
      <c r="U14" s="12" t="str">
        <f>IF(OR($D14="1 dd",$D14="2 dd",$D14="3 dd",$D14="4 dd",$D14="6 dd",$D14="8 dd",$D14="12 dd",$D14="an",$D14="1 X"),VLOOKUP($D14,PedTblTijden!$A$16:$X$26,PedTblTijden!O$14,FALSE),"")</f>
        <v/>
      </c>
      <c r="V14" s="93" t="str">
        <f>IF(OR($D14="1 dd",$D14="2 dd",$D14="3 dd",$D14="4 dd",$D14="6 dd",$D14="8 dd",$D14="12 dd",$D14="an",$D14="1 X"),VLOOKUP($D14,PedTblTijden!$A$16:$X$26,PedTblTijden!P$14,FALSE),"")</f>
        <v/>
      </c>
      <c r="W14" s="12" t="str">
        <f>IF(OR($D14="1 dd",$D14="2 dd",$D14="3 dd",$D14="4 dd",$D14="6 dd",$D14="8 dd",$D14="12 dd",$D14="an",$D14="1 X"),VLOOKUP($D14,PedTblTijden!$A$16:$X$26,PedTblTijden!Q$14,FALSE),"")</f>
        <v/>
      </c>
      <c r="X14" s="93" t="str">
        <f>IF(OR($D14="1 dd",$D14="2 dd",$D14="3 dd",$D14="4 dd",$D14="6 dd",$D14="8 dd",$D14="12 dd",$D14="an",$D14="1 X"),VLOOKUP($D14,PedTblTijden!$A$16:$X$26,PedTblTijden!R$14,FALSE),"")</f>
        <v/>
      </c>
      <c r="Y14" s="12" t="str">
        <f>IF(OR($D14="1 dd",$D14="2 dd",$D14="3 dd",$D14="4 dd",$D14="6 dd",$D14="8 dd",$D14="12 dd",$D14="an",$D14="1 X"),VLOOKUP($D14,PedTblTijden!$A$16:$X$26,PedTblTijden!S$14,FALSE),"")</f>
        <v/>
      </c>
      <c r="Z14" s="93" t="str">
        <f>IF(OR($D14="1 dd",$D14="2 dd",$D14="3 dd",$D14="4 dd",$D14="6 dd",$D14="8 dd",$D14="12 dd",$D14="an",$D14="1 X"),VLOOKUP($D14,PedTblTijden!$A$16:$X$26,PedTblTijden!T$14,FALSE),"")</f>
        <v/>
      </c>
      <c r="AA14" s="12" t="str">
        <f>IF(OR($D14="1 dd",$D14="2 dd",$D14="3 dd",$D14="4 dd",$D14="6 dd",$D14="8 dd",$D14="12 dd",$D14="an",$D14="1 X"),VLOOKUP($D14,PedTblTijden!$A$16:$X$26,PedTblTijden!U$14,FALSE),"")</f>
        <v/>
      </c>
      <c r="AB14" s="93" t="str">
        <f>IF(OR($D14="1 dd",$D14="2 dd",$D14="3 dd",$D14="4 dd",$D14="6 dd",$D14="8 dd",$D14="12 dd",$D14="an",$D14="1 X"),VLOOKUP($D14,PedTblTijden!$A$16:$X$26,PedTblTijden!V$14,FALSE),"")</f>
        <v/>
      </c>
      <c r="AC14" s="12" t="str">
        <f>IF(OR($D14="1 dd",$D14="2 dd",$D14="3 dd",$D14="4 dd",$D14="6 dd",$D14="8 dd",$D14="12 dd",$D14="an",$D14="1 X"),VLOOKUP($D14,PedTblTijden!$A$16:$X$26,PedTblTijden!W$14,FALSE),"")</f>
        <v/>
      </c>
      <c r="AD14" s="93" t="str">
        <f>IF(OR($D14="1 dd",$D14="2 dd",$D14="3 dd",$D14="4 dd",$D14="6 dd",$D14="8 dd",$D14="12 dd",$D14="an",$D14="1 X"),VLOOKUP($D14,PedTblTijden!$A$16:$X$26,PedTblTijden!X$14,FALSE),"")</f>
        <v/>
      </c>
      <c r="AE14" s="14"/>
      <c r="AF14" s="92"/>
      <c r="AG14" s="14"/>
    </row>
    <row r="15" spans="1:33" ht="26.1" customHeight="1" x14ac:dyDescent="0.2">
      <c r="B15" s="94"/>
      <c r="C15" s="125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26" t="str">
        <f>IF(GlobGuiMedDisc!I21&lt;&gt;"",GlobGuiMedDisc!I21,"")</f>
        <v/>
      </c>
      <c r="E15" s="127" t="str">
        <f>IF(AND(D15&lt;&gt;"",D15&lt;&gt;"STOP"),GlobBerMedDisc!H14&amp;" "&amp;GlobBerMedDisc!F14,"")</f>
        <v/>
      </c>
      <c r="F15" s="127" t="str">
        <f>IF(AND(D15&lt;&gt;"",D15&lt;&gt;"STOP"),GlobBerMedDisc!L14," ")</f>
        <v xml:space="preserve"> </v>
      </c>
      <c r="G15" s="127" t="str">
        <f>IF(GlobGuiMedDisc!N21&lt;&gt;"",GlobGuiMedDisc!N21&amp;" "&amp;GlobGuiMedDisc!O21&amp;" "&amp;INDEX(GlobBerMedDisc!$B$27:$B$30,GlobBerMedDisc!O14,1)&amp;" in "&amp;GlobGuiMedDisc!$R$21,"")</f>
        <v/>
      </c>
      <c r="H15" s="93" t="str">
        <f>IF(OR($D15="1 dd",$D15="2 dd",$D15="3 dd",$D15="4 dd",$D15="6 dd",$D15="8 dd",$D15="12 dd",$D15="an",$D15="1 X"),VLOOKUP($D15,PedTblTijden!$A$16:$X$26,PedTblTijden!B$14,FALSE),"")</f>
        <v/>
      </c>
      <c r="I15" s="12" t="str">
        <f>IF(OR($D15="1 dd",$D15="2 dd",$D15="3 dd",$D15="4 dd",$D15="6 dd",$D15="8 dd",$D15="12 dd",$D15="an",$D15="1 X"),VLOOKUP($D15,PedTblTijden!$A$16:$X$26,PedTblTijden!C$14,FALSE),"")</f>
        <v/>
      </c>
      <c r="J15" s="93" t="str">
        <f>IF(OR($D15="1 dd",$D15="2 dd",$D15="3 dd",$D15="4 dd",$D15="6 dd",$D15="8 dd",$D15="12 dd",$D15="an",$D15="1 X"),VLOOKUP($D15,PedTblTijden!$A$16:$X$26,PedTblTijden!D$14,FALSE),"")</f>
        <v/>
      </c>
      <c r="K15" s="12" t="str">
        <f>IF(OR($D15="1 dd",$D15="2 dd",$D15="3 dd",$D15="4 dd",$D15="6 dd",$D15="8 dd",$D15="12 dd",$D15="an",$D15="1 X"),VLOOKUP($D15,PedTblTijden!$A$16:$X$26,PedTblTijden!E$14,FALSE),"")</f>
        <v/>
      </c>
      <c r="L15" s="93" t="str">
        <f>IF(OR($D15="1 dd",$D15="2 dd",$D15="3 dd",$D15="4 dd",$D15="6 dd",$D15="8 dd",$D15="12 dd",$D15="an",$D15="1 X"),VLOOKUP($D15,PedTblTijden!$A$16:$X$26,PedTblTijden!F$14,FALSE),"")</f>
        <v/>
      </c>
      <c r="M15" s="12" t="str">
        <f>IF(OR($D15="1 dd",$D15="2 dd",$D15="3 dd",$D15="4 dd",$D15="6 dd",$D15="8 dd",$D15="12 dd",$D15="an",$D15="1 X"),VLOOKUP($D15,PedTblTijden!$A$16:$X$26,PedTblTijden!G$14,FALSE),"")</f>
        <v/>
      </c>
      <c r="N15" s="93" t="str">
        <f>IF(OR($D15="1 dd",$D15="2 dd",$D15="3 dd",$D15="4 dd",$D15="6 dd",$D15="8 dd",$D15="12 dd",$D15="an",$D15="1 X"),VLOOKUP($D15,PedTblTijden!$A$16:$X$26,PedTblTijden!H$14,FALSE),"")</f>
        <v/>
      </c>
      <c r="O15" s="12" t="str">
        <f>IF(OR($D15="1 dd",$D15="2 dd",$D15="3 dd",$D15="4 dd",$D15="6 dd",$D15="8 dd",$D15="12 dd",$D15="an",$D15="1 X"),VLOOKUP($D15,PedTblTijden!$A$16:$X$26,PedTblTijden!I$14,FALSE),"")</f>
        <v/>
      </c>
      <c r="P15" s="93" t="str">
        <f>IF(OR($D15="1 dd",$D15="2 dd",$D15="3 dd",$D15="4 dd",$D15="6 dd",$D15="8 dd",$D15="12 dd",$D15="an",$D15="1 X"),VLOOKUP($D15,PedTblTijden!$A$16:$X$26,PedTblTijden!J$14,FALSE),"")</f>
        <v/>
      </c>
      <c r="Q15" s="12" t="str">
        <f>IF(OR($D15="1 dd",$D15="2 dd",$D15="3 dd",$D15="4 dd",$D15="6 dd",$D15="8 dd",$D15="12 dd",$D15="an",$D15="1 X"),VLOOKUP($D15,PedTblTijden!$A$16:$X$26,PedTblTijden!K$14,FALSE),"")</f>
        <v/>
      </c>
      <c r="R15" s="93" t="str">
        <f>IF(OR($D15="1 dd",$D15="2 dd",$D15="3 dd",$D15="4 dd",$D15="6 dd",$D15="8 dd",$D15="12 dd",$D15="an",$D15="1 X"),VLOOKUP($D15,PedTblTijden!$A$16:$X$26,PedTblTijden!L$14,FALSE),"")</f>
        <v/>
      </c>
      <c r="S15" s="12" t="str">
        <f>IF(OR($D15="1 dd",$D15="2 dd",$D15="3 dd",$D15="4 dd",$D15="6 dd",$D15="8 dd",$D15="12 dd",$D15="an",$D15="1 X"),VLOOKUP($D15,PedTblTijden!$A$16:$X$26,PedTblTijden!M$14,FALSE),"")</f>
        <v/>
      </c>
      <c r="T15" s="93" t="str">
        <f>IF(OR($D15="1 dd",$D15="2 dd",$D15="3 dd",$D15="4 dd",$D15="6 dd",$D15="8 dd",$D15="12 dd",$D15="an",$D15="1 X"),VLOOKUP($D15,PedTblTijden!$A$16:$X$26,PedTblTijden!N$14,FALSE),"")</f>
        <v/>
      </c>
      <c r="U15" s="12" t="str">
        <f>IF(OR($D15="1 dd",$D15="2 dd",$D15="3 dd",$D15="4 dd",$D15="6 dd",$D15="8 dd",$D15="12 dd",$D15="an",$D15="1 X"),VLOOKUP($D15,PedTblTijden!$A$16:$X$26,PedTblTijden!O$14,FALSE),"")</f>
        <v/>
      </c>
      <c r="V15" s="93" t="str">
        <f>IF(OR($D15="1 dd",$D15="2 dd",$D15="3 dd",$D15="4 dd",$D15="6 dd",$D15="8 dd",$D15="12 dd",$D15="an",$D15="1 X"),VLOOKUP($D15,PedTblTijden!$A$16:$X$26,PedTblTijden!P$14,FALSE),"")</f>
        <v/>
      </c>
      <c r="W15" s="12" t="str">
        <f>IF(OR($D15="1 dd",$D15="2 dd",$D15="3 dd",$D15="4 dd",$D15="6 dd",$D15="8 dd",$D15="12 dd",$D15="an",$D15="1 X"),VLOOKUP($D15,PedTblTijden!$A$16:$X$26,PedTblTijden!Q$14,FALSE),"")</f>
        <v/>
      </c>
      <c r="X15" s="93" t="str">
        <f>IF(OR($D15="1 dd",$D15="2 dd",$D15="3 dd",$D15="4 dd",$D15="6 dd",$D15="8 dd",$D15="12 dd",$D15="an",$D15="1 X"),VLOOKUP($D15,PedTblTijden!$A$16:$X$26,PedTblTijden!R$14,FALSE),"")</f>
        <v/>
      </c>
      <c r="Y15" s="12" t="str">
        <f>IF(OR($D15="1 dd",$D15="2 dd",$D15="3 dd",$D15="4 dd",$D15="6 dd",$D15="8 dd",$D15="12 dd",$D15="an",$D15="1 X"),VLOOKUP($D15,PedTblTijden!$A$16:$X$26,PedTblTijden!S$14,FALSE),"")</f>
        <v/>
      </c>
      <c r="Z15" s="93" t="str">
        <f>IF(OR($D15="1 dd",$D15="2 dd",$D15="3 dd",$D15="4 dd",$D15="6 dd",$D15="8 dd",$D15="12 dd",$D15="an",$D15="1 X"),VLOOKUP($D15,PedTblTijden!$A$16:$X$26,PedTblTijden!T$14,FALSE),"")</f>
        <v/>
      </c>
      <c r="AA15" s="12" t="str">
        <f>IF(OR($D15="1 dd",$D15="2 dd",$D15="3 dd",$D15="4 dd",$D15="6 dd",$D15="8 dd",$D15="12 dd",$D15="an",$D15="1 X"),VLOOKUP($D15,PedTblTijden!$A$16:$X$26,PedTblTijden!U$14,FALSE),"")</f>
        <v/>
      </c>
      <c r="AB15" s="93" t="str">
        <f>IF(OR($D15="1 dd",$D15="2 dd",$D15="3 dd",$D15="4 dd",$D15="6 dd",$D15="8 dd",$D15="12 dd",$D15="an",$D15="1 X"),VLOOKUP($D15,PedTblTijden!$A$16:$X$26,PedTblTijden!V$14,FALSE),"")</f>
        <v/>
      </c>
      <c r="AC15" s="12" t="str">
        <f>IF(OR($D15="1 dd",$D15="2 dd",$D15="3 dd",$D15="4 dd",$D15="6 dd",$D15="8 dd",$D15="12 dd",$D15="an",$D15="1 X"),VLOOKUP($D15,PedTblTijden!$A$16:$X$26,PedTblTijden!W$14,FALSE),"")</f>
        <v/>
      </c>
      <c r="AD15" s="93" t="str">
        <f>IF(OR($D15="1 dd",$D15="2 dd",$D15="3 dd",$D15="4 dd",$D15="6 dd",$D15="8 dd",$D15="12 dd",$D15="an",$D15="1 X"),VLOOKUP($D15,PedTblTijden!$A$16:$X$26,PedTblTijden!X$14,FALSE),"")</f>
        <v/>
      </c>
      <c r="AE15" s="14"/>
      <c r="AF15" s="92"/>
      <c r="AG15" s="14"/>
    </row>
    <row r="16" spans="1:33" ht="26.1" customHeight="1" x14ac:dyDescent="0.2">
      <c r="B16" s="94"/>
      <c r="C16" s="125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26" t="str">
        <f>IF(GlobGuiMedDisc!I22&lt;&gt;"",GlobGuiMedDisc!I22,"")</f>
        <v/>
      </c>
      <c r="E16" s="127" t="str">
        <f>IF(AND(D16&lt;&gt;"",D16&lt;&gt;"STOP"),GlobBerMedDisc!H15&amp;" "&amp;GlobBerMedDisc!F15,"")</f>
        <v/>
      </c>
      <c r="F16" s="127" t="str">
        <f>IF(AND(D16&lt;&gt;"",D16&lt;&gt;"STOP"),GlobBerMedDisc!L15," ")</f>
        <v xml:space="preserve"> </v>
      </c>
      <c r="G16" s="127" t="str">
        <f>IF(GlobGuiMedDisc!N22&lt;&gt;"",GlobGuiMedDisc!N22&amp;" "&amp;GlobGuiMedDisc!O22&amp;" "&amp;INDEX(GlobBerMedDisc!$B$27:$B$30,GlobBerMedDisc!O15,1)&amp;" in "&amp;GlobGuiMedDisc!$R$22,"")</f>
        <v/>
      </c>
      <c r="H16" s="93" t="str">
        <f>IF(OR($D16="1 dd",$D16="2 dd",$D16="3 dd",$D16="4 dd",$D16="6 dd",$D16="8 dd",$D16="12 dd",$D16="an",$D16="1 X"),VLOOKUP($D16,PedTblTijden!$A$16:$X$26,PedTblTijden!B$14,FALSE),"")</f>
        <v/>
      </c>
      <c r="I16" s="12" t="str">
        <f>IF(OR($D16="1 dd",$D16="2 dd",$D16="3 dd",$D16="4 dd",$D16="6 dd",$D16="8 dd",$D16="12 dd",$D16="an",$D16="1 X"),VLOOKUP($D16,PedTblTijden!$A$16:$X$26,PedTblTijden!C$14,FALSE),"")</f>
        <v/>
      </c>
      <c r="J16" s="93" t="str">
        <f>IF(OR($D16="1 dd",$D16="2 dd",$D16="3 dd",$D16="4 dd",$D16="6 dd",$D16="8 dd",$D16="12 dd",$D16="an",$D16="1 X"),VLOOKUP($D16,PedTblTijden!$A$16:$X$26,PedTblTijden!D$14,FALSE),"")</f>
        <v/>
      </c>
      <c r="K16" s="12" t="str">
        <f>IF(OR($D16="1 dd",$D16="2 dd",$D16="3 dd",$D16="4 dd",$D16="6 dd",$D16="8 dd",$D16="12 dd",$D16="an",$D16="1 X"),VLOOKUP($D16,PedTblTijden!$A$16:$X$26,PedTblTijden!E$14,FALSE),"")</f>
        <v/>
      </c>
      <c r="L16" s="93" t="str">
        <f>IF(OR($D16="1 dd",$D16="2 dd",$D16="3 dd",$D16="4 dd",$D16="6 dd",$D16="8 dd",$D16="12 dd",$D16="an",$D16="1 X"),VLOOKUP($D16,PedTblTijden!$A$16:$X$26,PedTblTijden!F$14,FALSE),"")</f>
        <v/>
      </c>
      <c r="M16" s="12" t="str">
        <f>IF(OR($D16="1 dd",$D16="2 dd",$D16="3 dd",$D16="4 dd",$D16="6 dd",$D16="8 dd",$D16="12 dd",$D16="an",$D16="1 X"),VLOOKUP($D16,PedTblTijden!$A$16:$X$26,PedTblTijden!G$14,FALSE),"")</f>
        <v/>
      </c>
      <c r="N16" s="93" t="str">
        <f>IF(OR($D16="1 dd",$D16="2 dd",$D16="3 dd",$D16="4 dd",$D16="6 dd",$D16="8 dd",$D16="12 dd",$D16="an",$D16="1 X"),VLOOKUP($D16,PedTblTijden!$A$16:$X$26,PedTblTijden!H$14,FALSE),"")</f>
        <v/>
      </c>
      <c r="O16" s="12" t="str">
        <f>IF(OR($D16="1 dd",$D16="2 dd",$D16="3 dd",$D16="4 dd",$D16="6 dd",$D16="8 dd",$D16="12 dd",$D16="an",$D16="1 X"),VLOOKUP($D16,PedTblTijden!$A$16:$X$26,PedTblTijden!I$14,FALSE),"")</f>
        <v/>
      </c>
      <c r="P16" s="93" t="str">
        <f>IF(OR($D16="1 dd",$D16="2 dd",$D16="3 dd",$D16="4 dd",$D16="6 dd",$D16="8 dd",$D16="12 dd",$D16="an",$D16="1 X"),VLOOKUP($D16,PedTblTijden!$A$16:$X$26,PedTblTijden!J$14,FALSE),"")</f>
        <v/>
      </c>
      <c r="Q16" s="12" t="str">
        <f>IF(OR($D16="1 dd",$D16="2 dd",$D16="3 dd",$D16="4 dd",$D16="6 dd",$D16="8 dd",$D16="12 dd",$D16="an",$D16="1 X"),VLOOKUP($D16,PedTblTijden!$A$16:$X$26,PedTblTijden!K$14,FALSE),"")</f>
        <v/>
      </c>
      <c r="R16" s="93" t="str">
        <f>IF(OR($D16="1 dd",$D16="2 dd",$D16="3 dd",$D16="4 dd",$D16="6 dd",$D16="8 dd",$D16="12 dd",$D16="an",$D16="1 X"),VLOOKUP($D16,PedTblTijden!$A$16:$X$26,PedTblTijden!L$14,FALSE),"")</f>
        <v/>
      </c>
      <c r="S16" s="12" t="str">
        <f>IF(OR($D16="1 dd",$D16="2 dd",$D16="3 dd",$D16="4 dd",$D16="6 dd",$D16="8 dd",$D16="12 dd",$D16="an",$D16="1 X"),VLOOKUP($D16,PedTblTijden!$A$16:$X$26,PedTblTijden!M$14,FALSE),"")</f>
        <v/>
      </c>
      <c r="T16" s="93" t="str">
        <f>IF(OR($D16="1 dd",$D16="2 dd",$D16="3 dd",$D16="4 dd",$D16="6 dd",$D16="8 dd",$D16="12 dd",$D16="an",$D16="1 X"),VLOOKUP($D16,PedTblTijden!$A$16:$X$26,PedTblTijden!N$14,FALSE),"")</f>
        <v/>
      </c>
      <c r="U16" s="12" t="str">
        <f>IF(OR($D16="1 dd",$D16="2 dd",$D16="3 dd",$D16="4 dd",$D16="6 dd",$D16="8 dd",$D16="12 dd",$D16="an",$D16="1 X"),VLOOKUP($D16,PedTblTijden!$A$16:$X$26,PedTblTijden!O$14,FALSE),"")</f>
        <v/>
      </c>
      <c r="V16" s="93" t="str">
        <f>IF(OR($D16="1 dd",$D16="2 dd",$D16="3 dd",$D16="4 dd",$D16="6 dd",$D16="8 dd",$D16="12 dd",$D16="an",$D16="1 X"),VLOOKUP($D16,PedTblTijden!$A$16:$X$26,PedTblTijden!P$14,FALSE),"")</f>
        <v/>
      </c>
      <c r="W16" s="12" t="str">
        <f>IF(OR($D16="1 dd",$D16="2 dd",$D16="3 dd",$D16="4 dd",$D16="6 dd",$D16="8 dd",$D16="12 dd",$D16="an",$D16="1 X"),VLOOKUP($D16,PedTblTijden!$A$16:$X$26,PedTblTijden!Q$14,FALSE),"")</f>
        <v/>
      </c>
      <c r="X16" s="93" t="str">
        <f>IF(OR($D16="1 dd",$D16="2 dd",$D16="3 dd",$D16="4 dd",$D16="6 dd",$D16="8 dd",$D16="12 dd",$D16="an",$D16="1 X"),VLOOKUP($D16,PedTblTijden!$A$16:$X$26,PedTblTijden!R$14,FALSE),"")</f>
        <v/>
      </c>
      <c r="Y16" s="12" t="str">
        <f>IF(OR($D16="1 dd",$D16="2 dd",$D16="3 dd",$D16="4 dd",$D16="6 dd",$D16="8 dd",$D16="12 dd",$D16="an",$D16="1 X"),VLOOKUP($D16,PedTblTijden!$A$16:$X$26,PedTblTijden!S$14,FALSE),"")</f>
        <v/>
      </c>
      <c r="Z16" s="93" t="str">
        <f>IF(OR($D16="1 dd",$D16="2 dd",$D16="3 dd",$D16="4 dd",$D16="6 dd",$D16="8 dd",$D16="12 dd",$D16="an",$D16="1 X"),VLOOKUP($D16,PedTblTijden!$A$16:$X$26,PedTblTijden!T$14,FALSE),"")</f>
        <v/>
      </c>
      <c r="AA16" s="12" t="str">
        <f>IF(OR($D16="1 dd",$D16="2 dd",$D16="3 dd",$D16="4 dd",$D16="6 dd",$D16="8 dd",$D16="12 dd",$D16="an",$D16="1 X"),VLOOKUP($D16,PedTblTijden!$A$16:$X$26,PedTblTijden!U$14,FALSE),"")</f>
        <v/>
      </c>
      <c r="AB16" s="93" t="str">
        <f>IF(OR($D16="1 dd",$D16="2 dd",$D16="3 dd",$D16="4 dd",$D16="6 dd",$D16="8 dd",$D16="12 dd",$D16="an",$D16="1 X"),VLOOKUP($D16,PedTblTijden!$A$16:$X$26,PedTblTijden!V$14,FALSE),"")</f>
        <v/>
      </c>
      <c r="AC16" s="12" t="str">
        <f>IF(OR($D16="1 dd",$D16="2 dd",$D16="3 dd",$D16="4 dd",$D16="6 dd",$D16="8 dd",$D16="12 dd",$D16="an",$D16="1 X"),VLOOKUP($D16,PedTblTijden!$A$16:$X$26,PedTblTijden!W$14,FALSE),"")</f>
        <v/>
      </c>
      <c r="AD16" s="93" t="str">
        <f>IF(OR($D16="1 dd",$D16="2 dd",$D16="3 dd",$D16="4 dd",$D16="6 dd",$D16="8 dd",$D16="12 dd",$D16="an",$D16="1 X"),VLOOKUP($D16,PedTblTijden!$A$16:$X$26,PedTblTijden!X$14,FALSE),"")</f>
        <v/>
      </c>
      <c r="AE16" s="14"/>
      <c r="AF16" s="92"/>
      <c r="AG16" s="14"/>
    </row>
    <row r="17" spans="2:33" ht="26.1" customHeight="1" x14ac:dyDescent="0.2">
      <c r="B17" s="94"/>
      <c r="C17" s="125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26" t="str">
        <f>IF(GlobGuiMedDisc!I23&lt;&gt;"",GlobGuiMedDisc!I23,"")</f>
        <v/>
      </c>
      <c r="E17" s="127" t="str">
        <f>IF(AND(D17&lt;&gt;"",D17&lt;&gt;"STOP"),GlobBerMedDisc!H16&amp;" "&amp;GlobBerMedDisc!F16,"")</f>
        <v/>
      </c>
      <c r="F17" s="127" t="str">
        <f>IF(AND(D17&lt;&gt;"",D17&lt;&gt;"STOP"),GlobBerMedDisc!L16," ")</f>
        <v xml:space="preserve"> </v>
      </c>
      <c r="G17" s="127" t="str">
        <f>IF(GlobGuiMedDisc!N23&lt;&gt;"",GlobGuiMedDisc!N23&amp;" "&amp;GlobGuiMedDisc!O23&amp;" "&amp;INDEX(GlobBerMedDisc!$B$27:$B$30,GlobBerMedDisc!O16,1)&amp;" in "&amp;GlobGuiMedDisc!$R$23,"")</f>
        <v/>
      </c>
      <c r="H17" s="93" t="str">
        <f>IF(OR($D17="1 dd",$D17="2 dd",$D17="3 dd",$D17="4 dd",$D17="6 dd",$D17="8 dd",$D17="12 dd",$D17="an",$D17="1 X"),VLOOKUP($D17,PedTblTijden!$A$16:$X$26,PedTblTijden!B$14,FALSE),"")</f>
        <v/>
      </c>
      <c r="I17" s="12" t="str">
        <f>IF(OR($D17="1 dd",$D17="2 dd",$D17="3 dd",$D17="4 dd",$D17="6 dd",$D17="8 dd",$D17="12 dd",$D17="an",$D17="1 X"),VLOOKUP($D17,PedTblTijden!$A$16:$X$26,PedTblTijden!C$14,FALSE),"")</f>
        <v/>
      </c>
      <c r="J17" s="93" t="str">
        <f>IF(OR($D17="1 dd",$D17="2 dd",$D17="3 dd",$D17="4 dd",$D17="6 dd",$D17="8 dd",$D17="12 dd",$D17="an",$D17="1 X"),VLOOKUP($D17,PedTblTijden!$A$16:$X$26,PedTblTijden!D$14,FALSE),"")</f>
        <v/>
      </c>
      <c r="K17" s="12" t="str">
        <f>IF(OR($D17="1 dd",$D17="2 dd",$D17="3 dd",$D17="4 dd",$D17="6 dd",$D17="8 dd",$D17="12 dd",$D17="an",$D17="1 X"),VLOOKUP($D17,PedTblTijden!$A$16:$X$26,PedTblTijden!E$14,FALSE),"")</f>
        <v/>
      </c>
      <c r="L17" s="93" t="str">
        <f>IF(OR($D17="1 dd",$D17="2 dd",$D17="3 dd",$D17="4 dd",$D17="6 dd",$D17="8 dd",$D17="12 dd",$D17="an",$D17="1 X"),VLOOKUP($D17,PedTblTijden!$A$16:$X$26,PedTblTijden!F$14,FALSE),"")</f>
        <v/>
      </c>
      <c r="M17" s="12" t="str">
        <f>IF(OR($D17="1 dd",$D17="2 dd",$D17="3 dd",$D17="4 dd",$D17="6 dd",$D17="8 dd",$D17="12 dd",$D17="an",$D17="1 X"),VLOOKUP($D17,PedTblTijden!$A$16:$X$26,PedTblTijden!G$14,FALSE),"")</f>
        <v/>
      </c>
      <c r="N17" s="93" t="str">
        <f>IF(OR($D17="1 dd",$D17="2 dd",$D17="3 dd",$D17="4 dd",$D17="6 dd",$D17="8 dd",$D17="12 dd",$D17="an",$D17="1 X"),VLOOKUP($D17,PedTblTijden!$A$16:$X$26,PedTblTijden!H$14,FALSE),"")</f>
        <v/>
      </c>
      <c r="O17" s="12" t="str">
        <f>IF(OR($D17="1 dd",$D17="2 dd",$D17="3 dd",$D17="4 dd",$D17="6 dd",$D17="8 dd",$D17="12 dd",$D17="an",$D17="1 X"),VLOOKUP($D17,PedTblTijden!$A$16:$X$26,PedTblTijden!I$14,FALSE),"")</f>
        <v/>
      </c>
      <c r="P17" s="93" t="str">
        <f>IF(OR($D17="1 dd",$D17="2 dd",$D17="3 dd",$D17="4 dd",$D17="6 dd",$D17="8 dd",$D17="12 dd",$D17="an",$D17="1 X"),VLOOKUP($D17,PedTblTijden!$A$16:$X$26,PedTblTijden!J$14,FALSE),"")</f>
        <v/>
      </c>
      <c r="Q17" s="12" t="str">
        <f>IF(OR($D17="1 dd",$D17="2 dd",$D17="3 dd",$D17="4 dd",$D17="6 dd",$D17="8 dd",$D17="12 dd",$D17="an",$D17="1 X"),VLOOKUP($D17,PedTblTijden!$A$16:$X$26,PedTblTijden!K$14,FALSE),"")</f>
        <v/>
      </c>
      <c r="R17" s="93" t="str">
        <f>IF(OR($D17="1 dd",$D17="2 dd",$D17="3 dd",$D17="4 dd",$D17="6 dd",$D17="8 dd",$D17="12 dd",$D17="an",$D17="1 X"),VLOOKUP($D17,PedTblTijden!$A$16:$X$26,PedTblTijden!L$14,FALSE),"")</f>
        <v/>
      </c>
      <c r="S17" s="12" t="str">
        <f>IF(OR($D17="1 dd",$D17="2 dd",$D17="3 dd",$D17="4 dd",$D17="6 dd",$D17="8 dd",$D17="12 dd",$D17="an",$D17="1 X"),VLOOKUP($D17,PedTblTijden!$A$16:$X$26,PedTblTijden!M$14,FALSE),"")</f>
        <v/>
      </c>
      <c r="T17" s="93" t="str">
        <f>IF(OR($D17="1 dd",$D17="2 dd",$D17="3 dd",$D17="4 dd",$D17="6 dd",$D17="8 dd",$D17="12 dd",$D17="an",$D17="1 X"),VLOOKUP($D17,PedTblTijden!$A$16:$X$26,PedTblTijden!N$14,FALSE),"")</f>
        <v/>
      </c>
      <c r="U17" s="12" t="str">
        <f>IF(OR($D17="1 dd",$D17="2 dd",$D17="3 dd",$D17="4 dd",$D17="6 dd",$D17="8 dd",$D17="12 dd",$D17="an",$D17="1 X"),VLOOKUP($D17,PedTblTijden!$A$16:$X$26,PedTblTijden!O$14,FALSE),"")</f>
        <v/>
      </c>
      <c r="V17" s="93" t="str">
        <f>IF(OR($D17="1 dd",$D17="2 dd",$D17="3 dd",$D17="4 dd",$D17="6 dd",$D17="8 dd",$D17="12 dd",$D17="an",$D17="1 X"),VLOOKUP($D17,PedTblTijden!$A$16:$X$26,PedTblTijden!P$14,FALSE),"")</f>
        <v/>
      </c>
      <c r="W17" s="12" t="str">
        <f>IF(OR($D17="1 dd",$D17="2 dd",$D17="3 dd",$D17="4 dd",$D17="6 dd",$D17="8 dd",$D17="12 dd",$D17="an",$D17="1 X"),VLOOKUP($D17,PedTblTijden!$A$16:$X$26,PedTblTijden!Q$14,FALSE),"")</f>
        <v/>
      </c>
      <c r="X17" s="93" t="str">
        <f>IF(OR($D17="1 dd",$D17="2 dd",$D17="3 dd",$D17="4 dd",$D17="6 dd",$D17="8 dd",$D17="12 dd",$D17="an",$D17="1 X"),VLOOKUP($D17,PedTblTijden!$A$16:$X$26,PedTblTijden!R$14,FALSE),"")</f>
        <v/>
      </c>
      <c r="Y17" s="12" t="str">
        <f>IF(OR($D17="1 dd",$D17="2 dd",$D17="3 dd",$D17="4 dd",$D17="6 dd",$D17="8 dd",$D17="12 dd",$D17="an",$D17="1 X"),VLOOKUP($D17,PedTblTijden!$A$16:$X$26,PedTblTijden!S$14,FALSE),"")</f>
        <v/>
      </c>
      <c r="Z17" s="93" t="str">
        <f>IF(OR($D17="1 dd",$D17="2 dd",$D17="3 dd",$D17="4 dd",$D17="6 dd",$D17="8 dd",$D17="12 dd",$D17="an",$D17="1 X"),VLOOKUP($D17,PedTblTijden!$A$16:$X$26,PedTblTijden!T$14,FALSE),"")</f>
        <v/>
      </c>
      <c r="AA17" s="12" t="str">
        <f>IF(OR($D17="1 dd",$D17="2 dd",$D17="3 dd",$D17="4 dd",$D17="6 dd",$D17="8 dd",$D17="12 dd",$D17="an",$D17="1 X"),VLOOKUP($D17,PedTblTijden!$A$16:$X$26,PedTblTijden!U$14,FALSE),"")</f>
        <v/>
      </c>
      <c r="AB17" s="93" t="str">
        <f>IF(OR($D17="1 dd",$D17="2 dd",$D17="3 dd",$D17="4 dd",$D17="6 dd",$D17="8 dd",$D17="12 dd",$D17="an",$D17="1 X"),VLOOKUP($D17,PedTblTijden!$A$16:$X$26,PedTblTijden!V$14,FALSE),"")</f>
        <v/>
      </c>
      <c r="AC17" s="12" t="str">
        <f>IF(OR($D17="1 dd",$D17="2 dd",$D17="3 dd",$D17="4 dd",$D17="6 dd",$D17="8 dd",$D17="12 dd",$D17="an",$D17="1 X"),VLOOKUP($D17,PedTblTijden!$A$16:$X$26,PedTblTijden!W$14,FALSE),"")</f>
        <v/>
      </c>
      <c r="AD17" s="93" t="str">
        <f>IF(OR($D17="1 dd",$D17="2 dd",$D17="3 dd",$D17="4 dd",$D17="6 dd",$D17="8 dd",$D17="12 dd",$D17="an",$D17="1 X"),VLOOKUP($D17,PedTblTijden!$A$16:$X$26,PedTblTijden!X$14,FALSE),"")</f>
        <v/>
      </c>
      <c r="AE17" s="14"/>
      <c r="AF17" s="92"/>
      <c r="AG17" s="14"/>
    </row>
    <row r="18" spans="2:33" ht="26.1" customHeight="1" x14ac:dyDescent="0.2">
      <c r="B18" s="94"/>
      <c r="C18" s="125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26" t="str">
        <f>IF(GlobGuiMedDisc!I24&lt;&gt;"",GlobGuiMedDisc!I24,"")</f>
        <v/>
      </c>
      <c r="E18" s="127" t="str">
        <f>IF(AND(D18&lt;&gt;"",D18&lt;&gt;"STOP"),GlobBerMedDisc!H17&amp;" "&amp;GlobBerMedDisc!F17,"")</f>
        <v/>
      </c>
      <c r="F18" s="127" t="str">
        <f>IF(AND(D18&lt;&gt;"",D18&lt;&gt;"STOP"),GlobBerMedDisc!L17," ")</f>
        <v xml:space="preserve"> </v>
      </c>
      <c r="G18" s="127" t="str">
        <f>IF(GlobGuiMedDisc!N24&lt;&gt;"",GlobGuiMedDisc!N24&amp;" "&amp;GlobGuiMedDisc!O24&amp;" "&amp;INDEX(GlobBerMedDisc!$B$27:$B$30,GlobBerMedDisc!O17,1)&amp;" in "&amp;GlobGuiMedDisc!$R$24,"")</f>
        <v/>
      </c>
      <c r="H18" s="93" t="str">
        <f>IF(OR($D18="1 dd",$D18="2 dd",$D18="3 dd",$D18="4 dd",$D18="6 dd",$D18="8 dd",$D18="12 dd",$D18="an",$D18="1 X"),VLOOKUP($D18,PedTblTijden!$A$16:$X$26,PedTblTijden!B$14,FALSE),"")</f>
        <v/>
      </c>
      <c r="I18" s="12" t="str">
        <f>IF(OR($D18="1 dd",$D18="2 dd",$D18="3 dd",$D18="4 dd",$D18="6 dd",$D18="8 dd",$D18="12 dd",$D18="an",$D18="1 X"),VLOOKUP($D18,PedTblTijden!$A$16:$X$26,PedTblTijden!C$14,FALSE),"")</f>
        <v/>
      </c>
      <c r="J18" s="93" t="str">
        <f>IF(OR($D18="1 dd",$D18="2 dd",$D18="3 dd",$D18="4 dd",$D18="6 dd",$D18="8 dd",$D18="12 dd",$D18="an",$D18="1 X"),VLOOKUP($D18,PedTblTijden!$A$16:$X$26,PedTblTijden!D$14,FALSE),"")</f>
        <v/>
      </c>
      <c r="K18" s="12" t="str">
        <f>IF(OR($D18="1 dd",$D18="2 dd",$D18="3 dd",$D18="4 dd",$D18="6 dd",$D18="8 dd",$D18="12 dd",$D18="an",$D18="1 X"),VLOOKUP($D18,PedTblTijden!$A$16:$X$26,PedTblTijden!E$14,FALSE),"")</f>
        <v/>
      </c>
      <c r="L18" s="93" t="str">
        <f>IF(OR($D18="1 dd",$D18="2 dd",$D18="3 dd",$D18="4 dd",$D18="6 dd",$D18="8 dd",$D18="12 dd",$D18="an",$D18="1 X"),VLOOKUP($D18,PedTblTijden!$A$16:$X$26,PedTblTijden!F$14,FALSE),"")</f>
        <v/>
      </c>
      <c r="M18" s="12" t="str">
        <f>IF(OR($D18="1 dd",$D18="2 dd",$D18="3 dd",$D18="4 dd",$D18="6 dd",$D18="8 dd",$D18="12 dd",$D18="an",$D18="1 X"),VLOOKUP($D18,PedTblTijden!$A$16:$X$26,PedTblTijden!G$14,FALSE),"")</f>
        <v/>
      </c>
      <c r="N18" s="93" t="str">
        <f>IF(OR($D18="1 dd",$D18="2 dd",$D18="3 dd",$D18="4 dd",$D18="6 dd",$D18="8 dd",$D18="12 dd",$D18="an",$D18="1 X"),VLOOKUP($D18,PedTblTijden!$A$16:$X$26,PedTblTijden!H$14,FALSE),"")</f>
        <v/>
      </c>
      <c r="O18" s="12" t="str">
        <f>IF(OR($D18="1 dd",$D18="2 dd",$D18="3 dd",$D18="4 dd",$D18="6 dd",$D18="8 dd",$D18="12 dd",$D18="an",$D18="1 X"),VLOOKUP($D18,PedTblTijden!$A$16:$X$26,PedTblTijden!I$14,FALSE),"")</f>
        <v/>
      </c>
      <c r="P18" s="93" t="str">
        <f>IF(OR($D18="1 dd",$D18="2 dd",$D18="3 dd",$D18="4 dd",$D18="6 dd",$D18="8 dd",$D18="12 dd",$D18="an",$D18="1 X"),VLOOKUP($D18,PedTblTijden!$A$16:$X$26,PedTblTijden!J$14,FALSE),"")</f>
        <v/>
      </c>
      <c r="Q18" s="12" t="str">
        <f>IF(OR($D18="1 dd",$D18="2 dd",$D18="3 dd",$D18="4 dd",$D18="6 dd",$D18="8 dd",$D18="12 dd",$D18="an",$D18="1 X"),VLOOKUP($D18,PedTblTijden!$A$16:$X$26,PedTblTijden!K$14,FALSE),"")</f>
        <v/>
      </c>
      <c r="R18" s="93" t="str">
        <f>IF(OR($D18="1 dd",$D18="2 dd",$D18="3 dd",$D18="4 dd",$D18="6 dd",$D18="8 dd",$D18="12 dd",$D18="an",$D18="1 X"),VLOOKUP($D18,PedTblTijden!$A$16:$X$26,PedTblTijden!L$14,FALSE),"")</f>
        <v/>
      </c>
      <c r="S18" s="12" t="str">
        <f>IF(OR($D18="1 dd",$D18="2 dd",$D18="3 dd",$D18="4 dd",$D18="6 dd",$D18="8 dd",$D18="12 dd",$D18="an",$D18="1 X"),VLOOKUP($D18,PedTblTijden!$A$16:$X$26,PedTblTijden!M$14,FALSE),"")</f>
        <v/>
      </c>
      <c r="T18" s="93" t="str">
        <f>IF(OR($D18="1 dd",$D18="2 dd",$D18="3 dd",$D18="4 dd",$D18="6 dd",$D18="8 dd",$D18="12 dd",$D18="an",$D18="1 X"),VLOOKUP($D18,PedTblTijden!$A$16:$X$26,PedTblTijden!N$14,FALSE),"")</f>
        <v/>
      </c>
      <c r="U18" s="12" t="str">
        <f>IF(OR($D18="1 dd",$D18="2 dd",$D18="3 dd",$D18="4 dd",$D18="6 dd",$D18="8 dd",$D18="12 dd",$D18="an",$D18="1 X"),VLOOKUP($D18,PedTblTijden!$A$16:$X$26,PedTblTijden!O$14,FALSE),"")</f>
        <v/>
      </c>
      <c r="V18" s="93" t="str">
        <f>IF(OR($D18="1 dd",$D18="2 dd",$D18="3 dd",$D18="4 dd",$D18="6 dd",$D18="8 dd",$D18="12 dd",$D18="an",$D18="1 X"),VLOOKUP($D18,PedTblTijden!$A$16:$X$26,PedTblTijden!P$14,FALSE),"")</f>
        <v/>
      </c>
      <c r="W18" s="12" t="str">
        <f>IF(OR($D18="1 dd",$D18="2 dd",$D18="3 dd",$D18="4 dd",$D18="6 dd",$D18="8 dd",$D18="12 dd",$D18="an",$D18="1 X"),VLOOKUP($D18,PedTblTijden!$A$16:$X$26,PedTblTijden!Q$14,FALSE),"")</f>
        <v/>
      </c>
      <c r="X18" s="93" t="str">
        <f>IF(OR($D18="1 dd",$D18="2 dd",$D18="3 dd",$D18="4 dd",$D18="6 dd",$D18="8 dd",$D18="12 dd",$D18="an",$D18="1 X"),VLOOKUP($D18,PedTblTijden!$A$16:$X$26,PedTblTijden!R$14,FALSE),"")</f>
        <v/>
      </c>
      <c r="Y18" s="12" t="str">
        <f>IF(OR($D18="1 dd",$D18="2 dd",$D18="3 dd",$D18="4 dd",$D18="6 dd",$D18="8 dd",$D18="12 dd",$D18="an",$D18="1 X"),VLOOKUP($D18,PedTblTijden!$A$16:$X$26,PedTblTijden!S$14,FALSE),"")</f>
        <v/>
      </c>
      <c r="Z18" s="93" t="str">
        <f>IF(OR($D18="1 dd",$D18="2 dd",$D18="3 dd",$D18="4 dd",$D18="6 dd",$D18="8 dd",$D18="12 dd",$D18="an",$D18="1 X"),VLOOKUP($D18,PedTblTijden!$A$16:$X$26,PedTblTijden!T$14,FALSE),"")</f>
        <v/>
      </c>
      <c r="AA18" s="12" t="str">
        <f>IF(OR($D18="1 dd",$D18="2 dd",$D18="3 dd",$D18="4 dd",$D18="6 dd",$D18="8 dd",$D18="12 dd",$D18="an",$D18="1 X"),VLOOKUP($D18,PedTblTijden!$A$16:$X$26,PedTblTijden!U$14,FALSE),"")</f>
        <v/>
      </c>
      <c r="AB18" s="93" t="str">
        <f>IF(OR($D18="1 dd",$D18="2 dd",$D18="3 dd",$D18="4 dd",$D18="6 dd",$D18="8 dd",$D18="12 dd",$D18="an",$D18="1 X"),VLOOKUP($D18,PedTblTijden!$A$16:$X$26,PedTblTijden!V$14,FALSE),"")</f>
        <v/>
      </c>
      <c r="AC18" s="12" t="str">
        <f>IF(OR($D18="1 dd",$D18="2 dd",$D18="3 dd",$D18="4 dd",$D18="6 dd",$D18="8 dd",$D18="12 dd",$D18="an",$D18="1 X"),VLOOKUP($D18,PedTblTijden!$A$16:$X$26,PedTblTijden!W$14,FALSE),"")</f>
        <v/>
      </c>
      <c r="AD18" s="93" t="str">
        <f>IF(OR($D18="1 dd",$D18="2 dd",$D18="3 dd",$D18="4 dd",$D18="6 dd",$D18="8 dd",$D18="12 dd",$D18="an",$D18="1 X"),VLOOKUP($D18,PedTblTijden!$A$16:$X$26,PedTblTijden!X$14,FALSE),"")</f>
        <v/>
      </c>
      <c r="AE18" s="14"/>
      <c r="AF18" s="92"/>
      <c r="AG18" s="14"/>
    </row>
    <row r="19" spans="2:33" ht="26.1" customHeight="1" x14ac:dyDescent="0.2">
      <c r="B19" s="94"/>
      <c r="C19" s="125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26" t="str">
        <f>IF(GlobGuiMedDisc!I25&lt;&gt;"",GlobGuiMedDisc!I25,"")</f>
        <v/>
      </c>
      <c r="E19" s="127" t="str">
        <f>IF(AND(D19&lt;&gt;"",D19&lt;&gt;"STOP"),GlobBerMedDisc!H18&amp;" "&amp;GlobBerMedDisc!F18,"")</f>
        <v/>
      </c>
      <c r="F19" s="127" t="str">
        <f>IF(AND(D19&lt;&gt;"",D19&lt;&gt;"STOP"),GlobBerMedDisc!L18," ")</f>
        <v xml:space="preserve"> </v>
      </c>
      <c r="G19" s="127" t="str">
        <f>IF(GlobGuiMedDisc!N25&lt;&gt;"",GlobGuiMedDisc!N25&amp;" "&amp;GlobGuiMedDisc!O25&amp;" "&amp;INDEX(GlobBerMedDisc!$B$27:$B$30,GlobBerMedDisc!O18,1)&amp;" in "&amp;GlobGuiMedDisc!$R$25,"")</f>
        <v/>
      </c>
      <c r="H19" s="93" t="str">
        <f>IF(OR($D19="1 dd",$D19="2 dd",$D19="3 dd",$D19="4 dd",$D19="6 dd",$D19="8 dd",$D19="12 dd",$D19="an",$D19="1 X"),VLOOKUP($D19,PedTblTijden!$A$16:$X$26,PedTblTijden!B$14,FALSE),"")</f>
        <v/>
      </c>
      <c r="I19" s="12" t="str">
        <f>IF(OR($D19="1 dd",$D19="2 dd",$D19="3 dd",$D19="4 dd",$D19="6 dd",$D19="8 dd",$D19="12 dd",$D19="an",$D19="1 X"),VLOOKUP($D19,PedTblTijden!$A$16:$X$26,PedTblTijden!C$14,FALSE),"")</f>
        <v/>
      </c>
      <c r="J19" s="93" t="str">
        <f>IF(OR($D19="1 dd",$D19="2 dd",$D19="3 dd",$D19="4 dd",$D19="6 dd",$D19="8 dd",$D19="12 dd",$D19="an",$D19="1 X"),VLOOKUP($D19,PedTblTijden!$A$16:$X$26,PedTblTijden!D$14,FALSE),"")</f>
        <v/>
      </c>
      <c r="K19" s="12" t="str">
        <f>IF(OR($D19="1 dd",$D19="2 dd",$D19="3 dd",$D19="4 dd",$D19="6 dd",$D19="8 dd",$D19="12 dd",$D19="an",$D19="1 X"),VLOOKUP($D19,PedTblTijden!$A$16:$X$26,PedTblTijden!E$14,FALSE),"")</f>
        <v/>
      </c>
      <c r="L19" s="93" t="str">
        <f>IF(OR($D19="1 dd",$D19="2 dd",$D19="3 dd",$D19="4 dd",$D19="6 dd",$D19="8 dd",$D19="12 dd",$D19="an",$D19="1 X"),VLOOKUP($D19,PedTblTijden!$A$16:$X$26,PedTblTijden!F$14,FALSE),"")</f>
        <v/>
      </c>
      <c r="M19" s="12" t="str">
        <f>IF(OR($D19="1 dd",$D19="2 dd",$D19="3 dd",$D19="4 dd",$D19="6 dd",$D19="8 dd",$D19="12 dd",$D19="an",$D19="1 X"),VLOOKUP($D19,PedTblTijden!$A$16:$X$26,PedTblTijden!G$14,FALSE),"")</f>
        <v/>
      </c>
      <c r="N19" s="93" t="str">
        <f>IF(OR($D19="1 dd",$D19="2 dd",$D19="3 dd",$D19="4 dd",$D19="6 dd",$D19="8 dd",$D19="12 dd",$D19="an",$D19="1 X"),VLOOKUP($D19,PedTblTijden!$A$16:$X$26,PedTblTijden!H$14,FALSE),"")</f>
        <v/>
      </c>
      <c r="O19" s="12" t="str">
        <f>IF(OR($D19="1 dd",$D19="2 dd",$D19="3 dd",$D19="4 dd",$D19="6 dd",$D19="8 dd",$D19="12 dd",$D19="an",$D19="1 X"),VLOOKUP($D19,PedTblTijden!$A$16:$X$26,PedTblTijden!I$14,FALSE),"")</f>
        <v/>
      </c>
      <c r="P19" s="93" t="str">
        <f>IF(OR($D19="1 dd",$D19="2 dd",$D19="3 dd",$D19="4 dd",$D19="6 dd",$D19="8 dd",$D19="12 dd",$D19="an",$D19="1 X"),VLOOKUP($D19,PedTblTijden!$A$16:$X$26,PedTblTijden!J$14,FALSE),"")</f>
        <v/>
      </c>
      <c r="Q19" s="12" t="str">
        <f>IF(OR($D19="1 dd",$D19="2 dd",$D19="3 dd",$D19="4 dd",$D19="6 dd",$D19="8 dd",$D19="12 dd",$D19="an",$D19="1 X"),VLOOKUP($D19,PedTblTijden!$A$16:$X$26,PedTblTijden!K$14,FALSE),"")</f>
        <v/>
      </c>
      <c r="R19" s="93" t="str">
        <f>IF(OR($D19="1 dd",$D19="2 dd",$D19="3 dd",$D19="4 dd",$D19="6 dd",$D19="8 dd",$D19="12 dd",$D19="an",$D19="1 X"),VLOOKUP($D19,PedTblTijden!$A$16:$X$26,PedTblTijden!L$14,FALSE),"")</f>
        <v/>
      </c>
      <c r="S19" s="12" t="str">
        <f>IF(OR($D19="1 dd",$D19="2 dd",$D19="3 dd",$D19="4 dd",$D19="6 dd",$D19="8 dd",$D19="12 dd",$D19="an",$D19="1 X"),VLOOKUP($D19,PedTblTijden!$A$16:$X$26,PedTblTijden!M$14,FALSE),"")</f>
        <v/>
      </c>
      <c r="T19" s="93" t="str">
        <f>IF(OR($D19="1 dd",$D19="2 dd",$D19="3 dd",$D19="4 dd",$D19="6 dd",$D19="8 dd",$D19="12 dd",$D19="an",$D19="1 X"),VLOOKUP($D19,PedTblTijden!$A$16:$X$26,PedTblTijden!N$14,FALSE),"")</f>
        <v/>
      </c>
      <c r="U19" s="12" t="str">
        <f>IF(OR($D19="1 dd",$D19="2 dd",$D19="3 dd",$D19="4 dd",$D19="6 dd",$D19="8 dd",$D19="12 dd",$D19="an",$D19="1 X"),VLOOKUP($D19,PedTblTijden!$A$16:$X$26,PedTblTijden!O$14,FALSE),"")</f>
        <v/>
      </c>
      <c r="V19" s="93" t="str">
        <f>IF(OR($D19="1 dd",$D19="2 dd",$D19="3 dd",$D19="4 dd",$D19="6 dd",$D19="8 dd",$D19="12 dd",$D19="an",$D19="1 X"),VLOOKUP($D19,PedTblTijden!$A$16:$X$26,PedTblTijden!P$14,FALSE),"")</f>
        <v/>
      </c>
      <c r="W19" s="12" t="str">
        <f>IF(OR($D19="1 dd",$D19="2 dd",$D19="3 dd",$D19="4 dd",$D19="6 dd",$D19="8 dd",$D19="12 dd",$D19="an",$D19="1 X"),VLOOKUP($D19,PedTblTijden!$A$16:$X$26,PedTblTijden!Q$14,FALSE),"")</f>
        <v/>
      </c>
      <c r="X19" s="93" t="str">
        <f>IF(OR($D19="1 dd",$D19="2 dd",$D19="3 dd",$D19="4 dd",$D19="6 dd",$D19="8 dd",$D19="12 dd",$D19="an",$D19="1 X"),VLOOKUP($D19,PedTblTijden!$A$16:$X$26,PedTblTijden!R$14,FALSE),"")</f>
        <v/>
      </c>
      <c r="Y19" s="12" t="str">
        <f>IF(OR($D19="1 dd",$D19="2 dd",$D19="3 dd",$D19="4 dd",$D19="6 dd",$D19="8 dd",$D19="12 dd",$D19="an",$D19="1 X"),VLOOKUP($D19,PedTblTijden!$A$16:$X$26,PedTblTijden!S$14,FALSE),"")</f>
        <v/>
      </c>
      <c r="Z19" s="93" t="str">
        <f>IF(OR($D19="1 dd",$D19="2 dd",$D19="3 dd",$D19="4 dd",$D19="6 dd",$D19="8 dd",$D19="12 dd",$D19="an",$D19="1 X"),VLOOKUP($D19,PedTblTijden!$A$16:$X$26,PedTblTijden!T$14,FALSE),"")</f>
        <v/>
      </c>
      <c r="AA19" s="12" t="str">
        <f>IF(OR($D19="1 dd",$D19="2 dd",$D19="3 dd",$D19="4 dd",$D19="6 dd",$D19="8 dd",$D19="12 dd",$D19="an",$D19="1 X"),VLOOKUP($D19,PedTblTijden!$A$16:$X$26,PedTblTijden!U$14,FALSE),"")</f>
        <v/>
      </c>
      <c r="AB19" s="93" t="str">
        <f>IF(OR($D19="1 dd",$D19="2 dd",$D19="3 dd",$D19="4 dd",$D19="6 dd",$D19="8 dd",$D19="12 dd",$D19="an",$D19="1 X"),VLOOKUP($D19,PedTblTijden!$A$16:$X$26,PedTblTijden!V$14,FALSE),"")</f>
        <v/>
      </c>
      <c r="AC19" s="12" t="str">
        <f>IF(OR($D19="1 dd",$D19="2 dd",$D19="3 dd",$D19="4 dd",$D19="6 dd",$D19="8 dd",$D19="12 dd",$D19="an",$D19="1 X"),VLOOKUP($D19,PedTblTijden!$A$16:$X$26,PedTblTijden!W$14,FALSE),"")</f>
        <v/>
      </c>
      <c r="AD19" s="93" t="str">
        <f>IF(OR($D19="1 dd",$D19="2 dd",$D19="3 dd",$D19="4 dd",$D19="6 dd",$D19="8 dd",$D19="12 dd",$D19="an",$D19="1 X"),VLOOKUP($D19,PedTblTijden!$A$16:$X$26,PedTblTijden!X$14,FALSE),"")</f>
        <v/>
      </c>
      <c r="AE19" s="14"/>
      <c r="AF19" s="92"/>
      <c r="AG19" s="14"/>
    </row>
    <row r="20" spans="2:33" ht="26.1" customHeight="1" x14ac:dyDescent="0.2">
      <c r="B20" s="94"/>
      <c r="C20" s="125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26" t="str">
        <f>IF(GlobGuiMedDisc!I26&lt;&gt;"",GlobGuiMedDisc!I26,"")</f>
        <v/>
      </c>
      <c r="E20" s="127" t="str">
        <f>IF(AND(D20&lt;&gt;"",D20&lt;&gt;"STOP"),GlobBerMedDisc!H19&amp;" "&amp;GlobBerMedDisc!F19,"")</f>
        <v/>
      </c>
      <c r="F20" s="127" t="str">
        <f>IF(AND(D20&lt;&gt;"",D20&lt;&gt;"STOP"),GlobBerMedDisc!L19," ")</f>
        <v xml:space="preserve"> </v>
      </c>
      <c r="G20" s="127" t="str">
        <f>IF(GlobGuiMedDisc!N26&lt;&gt;"",GlobGuiMedDisc!N26&amp;" "&amp;GlobGuiMedDisc!O26&amp;" "&amp;INDEX(GlobBerMedDisc!$B$27:$B$30,GlobBerMedDisc!O19,1)&amp;" in "&amp;GlobGuiMedDisc!$R$26,"")</f>
        <v/>
      </c>
      <c r="H20" s="93" t="str">
        <f>IF(OR($D20="1 dd",$D20="2 dd",$D20="3 dd",$D20="4 dd",$D20="6 dd",$D20="8 dd",$D20="12 dd",$D20="an",$D20="1 X"),VLOOKUP($D20,PedTblTijden!$A$16:$X$26,PedTblTijden!B$14,FALSE),"")</f>
        <v/>
      </c>
      <c r="I20" s="12" t="str">
        <f>IF(OR($D20="1 dd",$D20="2 dd",$D20="3 dd",$D20="4 dd",$D20="6 dd",$D20="8 dd",$D20="12 dd",$D20="an",$D20="1 X"),VLOOKUP($D20,PedTblTijden!$A$16:$X$26,PedTblTijden!C$14,FALSE),"")</f>
        <v/>
      </c>
      <c r="J20" s="93" t="str">
        <f>IF(OR($D20="1 dd",$D20="2 dd",$D20="3 dd",$D20="4 dd",$D20="6 dd",$D20="8 dd",$D20="12 dd",$D20="an",$D20="1 X"),VLOOKUP($D20,PedTblTijden!$A$16:$X$26,PedTblTijden!D$14,FALSE),"")</f>
        <v/>
      </c>
      <c r="K20" s="12" t="str">
        <f>IF(OR($D20="1 dd",$D20="2 dd",$D20="3 dd",$D20="4 dd",$D20="6 dd",$D20="8 dd",$D20="12 dd",$D20="an",$D20="1 X"),VLOOKUP($D20,PedTblTijden!$A$16:$X$26,PedTblTijden!E$14,FALSE),"")</f>
        <v/>
      </c>
      <c r="L20" s="93" t="str">
        <f>IF(OR($D20="1 dd",$D20="2 dd",$D20="3 dd",$D20="4 dd",$D20="6 dd",$D20="8 dd",$D20="12 dd",$D20="an",$D20="1 X"),VLOOKUP($D20,PedTblTijden!$A$16:$X$26,PedTblTijden!F$14,FALSE),"")</f>
        <v/>
      </c>
      <c r="M20" s="12" t="str">
        <f>IF(OR($D20="1 dd",$D20="2 dd",$D20="3 dd",$D20="4 dd",$D20="6 dd",$D20="8 dd",$D20="12 dd",$D20="an",$D20="1 X"),VLOOKUP($D20,PedTblTijden!$A$16:$X$26,PedTblTijden!G$14,FALSE),"")</f>
        <v/>
      </c>
      <c r="N20" s="93" t="str">
        <f>IF(OR($D20="1 dd",$D20="2 dd",$D20="3 dd",$D20="4 dd",$D20="6 dd",$D20="8 dd",$D20="12 dd",$D20="an",$D20="1 X"),VLOOKUP($D20,PedTblTijden!$A$16:$X$26,PedTblTijden!H$14,FALSE),"")</f>
        <v/>
      </c>
      <c r="O20" s="12" t="str">
        <f>IF(OR($D20="1 dd",$D20="2 dd",$D20="3 dd",$D20="4 dd",$D20="6 dd",$D20="8 dd",$D20="12 dd",$D20="an",$D20="1 X"),VLOOKUP($D20,PedTblTijden!$A$16:$X$26,PedTblTijden!I$14,FALSE),"")</f>
        <v/>
      </c>
      <c r="P20" s="93" t="str">
        <f>IF(OR($D20="1 dd",$D20="2 dd",$D20="3 dd",$D20="4 dd",$D20="6 dd",$D20="8 dd",$D20="12 dd",$D20="an",$D20="1 X"),VLOOKUP($D20,PedTblTijden!$A$16:$X$26,PedTblTijden!J$14,FALSE),"")</f>
        <v/>
      </c>
      <c r="Q20" s="12" t="str">
        <f>IF(OR($D20="1 dd",$D20="2 dd",$D20="3 dd",$D20="4 dd",$D20="6 dd",$D20="8 dd",$D20="12 dd",$D20="an",$D20="1 X"),VLOOKUP($D20,PedTblTijden!$A$16:$X$26,PedTblTijden!K$14,FALSE),"")</f>
        <v/>
      </c>
      <c r="R20" s="93" t="str">
        <f>IF(OR($D20="1 dd",$D20="2 dd",$D20="3 dd",$D20="4 dd",$D20="6 dd",$D20="8 dd",$D20="12 dd",$D20="an",$D20="1 X"),VLOOKUP($D20,PedTblTijden!$A$16:$X$26,PedTblTijden!L$14,FALSE),"")</f>
        <v/>
      </c>
      <c r="S20" s="12" t="str">
        <f>IF(OR($D20="1 dd",$D20="2 dd",$D20="3 dd",$D20="4 dd",$D20="6 dd",$D20="8 dd",$D20="12 dd",$D20="an",$D20="1 X"),VLOOKUP($D20,PedTblTijden!$A$16:$X$26,PedTblTijden!M$14,FALSE),"")</f>
        <v/>
      </c>
      <c r="T20" s="93" t="str">
        <f>IF(OR($D20="1 dd",$D20="2 dd",$D20="3 dd",$D20="4 dd",$D20="6 dd",$D20="8 dd",$D20="12 dd",$D20="an",$D20="1 X"),VLOOKUP($D20,PedTblTijden!$A$16:$X$26,PedTblTijden!N$14,FALSE),"")</f>
        <v/>
      </c>
      <c r="U20" s="12" t="str">
        <f>IF(OR($D20="1 dd",$D20="2 dd",$D20="3 dd",$D20="4 dd",$D20="6 dd",$D20="8 dd",$D20="12 dd",$D20="an",$D20="1 X"),VLOOKUP($D20,PedTblTijden!$A$16:$X$26,PedTblTijden!O$14,FALSE),"")</f>
        <v/>
      </c>
      <c r="V20" s="93" t="str">
        <f>IF(OR($D20="1 dd",$D20="2 dd",$D20="3 dd",$D20="4 dd",$D20="6 dd",$D20="8 dd",$D20="12 dd",$D20="an",$D20="1 X"),VLOOKUP($D20,PedTblTijden!$A$16:$X$26,PedTblTijden!P$14,FALSE),"")</f>
        <v/>
      </c>
      <c r="W20" s="12" t="str">
        <f>IF(OR($D20="1 dd",$D20="2 dd",$D20="3 dd",$D20="4 dd",$D20="6 dd",$D20="8 dd",$D20="12 dd",$D20="an",$D20="1 X"),VLOOKUP($D20,PedTblTijden!$A$16:$X$26,PedTblTijden!Q$14,FALSE),"")</f>
        <v/>
      </c>
      <c r="X20" s="93" t="str">
        <f>IF(OR($D20="1 dd",$D20="2 dd",$D20="3 dd",$D20="4 dd",$D20="6 dd",$D20="8 dd",$D20="12 dd",$D20="an",$D20="1 X"),VLOOKUP($D20,PedTblTijden!$A$16:$X$26,PedTblTijden!R$14,FALSE),"")</f>
        <v/>
      </c>
      <c r="Y20" s="12" t="str">
        <f>IF(OR($D20="1 dd",$D20="2 dd",$D20="3 dd",$D20="4 dd",$D20="6 dd",$D20="8 dd",$D20="12 dd",$D20="an",$D20="1 X"),VLOOKUP($D20,PedTblTijden!$A$16:$X$26,PedTblTijden!S$14,FALSE),"")</f>
        <v/>
      </c>
      <c r="Z20" s="93" t="str">
        <f>IF(OR($D20="1 dd",$D20="2 dd",$D20="3 dd",$D20="4 dd",$D20="6 dd",$D20="8 dd",$D20="12 dd",$D20="an",$D20="1 X"),VLOOKUP($D20,PedTblTijden!$A$16:$X$26,PedTblTijden!T$14,FALSE),"")</f>
        <v/>
      </c>
      <c r="AA20" s="12" t="str">
        <f>IF(OR($D20="1 dd",$D20="2 dd",$D20="3 dd",$D20="4 dd",$D20="6 dd",$D20="8 dd",$D20="12 dd",$D20="an",$D20="1 X"),VLOOKUP($D20,PedTblTijden!$A$16:$X$26,PedTblTijden!U$14,FALSE),"")</f>
        <v/>
      </c>
      <c r="AB20" s="93" t="str">
        <f>IF(OR($D20="1 dd",$D20="2 dd",$D20="3 dd",$D20="4 dd",$D20="6 dd",$D20="8 dd",$D20="12 dd",$D20="an",$D20="1 X"),VLOOKUP($D20,PedTblTijden!$A$16:$X$26,PedTblTijden!V$14,FALSE),"")</f>
        <v/>
      </c>
      <c r="AC20" s="12" t="str">
        <f>IF(OR($D20="1 dd",$D20="2 dd",$D20="3 dd",$D20="4 dd",$D20="6 dd",$D20="8 dd",$D20="12 dd",$D20="an",$D20="1 X"),VLOOKUP($D20,PedTblTijden!$A$16:$X$26,PedTblTijden!W$14,FALSE),"")</f>
        <v/>
      </c>
      <c r="AD20" s="93" t="str">
        <f>IF(OR($D20="1 dd",$D20="2 dd",$D20="3 dd",$D20="4 dd",$D20="6 dd",$D20="8 dd",$D20="12 dd",$D20="an",$D20="1 X"),VLOOKUP($D20,PedTblTijden!$A$16:$X$26,PedTblTijden!X$14,FALSE),"")</f>
        <v/>
      </c>
      <c r="AE20" s="14"/>
      <c r="AF20" s="92"/>
      <c r="AG20" s="14"/>
    </row>
    <row r="21" spans="2:33" ht="26.1" customHeight="1" x14ac:dyDescent="0.2">
      <c r="B21" s="94"/>
      <c r="C21" s="125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26" t="str">
        <f>IF(GlobGuiMedDisc!I27&lt;&gt;"",GlobGuiMedDisc!I27,"")</f>
        <v/>
      </c>
      <c r="E21" s="127" t="str">
        <f>IF(AND(D21&lt;&gt;"",D21&lt;&gt;"STOP"),GlobBerMedDisc!H20&amp;" "&amp;GlobBerMedDisc!F20,"")</f>
        <v/>
      </c>
      <c r="F21" s="127" t="str">
        <f>IF(AND(D21&lt;&gt;"",D21&lt;&gt;"STOP"),GlobBerMedDisc!L20," ")</f>
        <v xml:space="preserve"> </v>
      </c>
      <c r="G21" s="127" t="str">
        <f>IF(GlobGuiMedDisc!N27&lt;&gt;"",GlobGuiMedDisc!N27&amp;" "&amp;GlobGuiMedDisc!O27&amp;" "&amp;INDEX(GlobBerMedDisc!$B$27:$B$30,GlobBerMedDisc!O20,1)&amp;" in "&amp;GlobGuiMedDisc!$R$27,"")</f>
        <v/>
      </c>
      <c r="H21" s="93" t="str">
        <f>IF(OR($D21="1 dd",$D21="2 dd",$D21="3 dd",$D21="4 dd",$D21="6 dd",$D21="8 dd",$D21="12 dd",$D21="an",$D21="1 X"),VLOOKUP($D21,PedTblTijden!$A$16:$X$26,PedTblTijden!B$14,FALSE),"")</f>
        <v/>
      </c>
      <c r="I21" s="12" t="str">
        <f>IF(OR($D21="1 dd",$D21="2 dd",$D21="3 dd",$D21="4 dd",$D21="6 dd",$D21="8 dd",$D21="12 dd",$D21="an",$D21="1 X"),VLOOKUP($D21,PedTblTijden!$A$16:$X$26,PedTblTijden!C$14,FALSE),"")</f>
        <v/>
      </c>
      <c r="J21" s="93" t="str">
        <f>IF(OR($D21="1 dd",$D21="2 dd",$D21="3 dd",$D21="4 dd",$D21="6 dd",$D21="8 dd",$D21="12 dd",$D21="an",$D21="1 X"),VLOOKUP($D21,PedTblTijden!$A$16:$X$26,PedTblTijden!D$14,FALSE),"")</f>
        <v/>
      </c>
      <c r="K21" s="12" t="str">
        <f>IF(OR($D21="1 dd",$D21="2 dd",$D21="3 dd",$D21="4 dd",$D21="6 dd",$D21="8 dd",$D21="12 dd",$D21="an",$D21="1 X"),VLOOKUP($D21,PedTblTijden!$A$16:$X$26,PedTblTijden!E$14,FALSE),"")</f>
        <v/>
      </c>
      <c r="L21" s="93" t="str">
        <f>IF(OR($D21="1 dd",$D21="2 dd",$D21="3 dd",$D21="4 dd",$D21="6 dd",$D21="8 dd",$D21="12 dd",$D21="an",$D21="1 X"),VLOOKUP($D21,PedTblTijden!$A$16:$X$26,PedTblTijden!F$14,FALSE),"")</f>
        <v/>
      </c>
      <c r="M21" s="12" t="str">
        <f>IF(OR($D21="1 dd",$D21="2 dd",$D21="3 dd",$D21="4 dd",$D21="6 dd",$D21="8 dd",$D21="12 dd",$D21="an",$D21="1 X"),VLOOKUP($D21,PedTblTijden!$A$16:$X$26,PedTblTijden!G$14,FALSE),"")</f>
        <v/>
      </c>
      <c r="N21" s="93" t="str">
        <f>IF(OR($D21="1 dd",$D21="2 dd",$D21="3 dd",$D21="4 dd",$D21="6 dd",$D21="8 dd",$D21="12 dd",$D21="an",$D21="1 X"),VLOOKUP($D21,PedTblTijden!$A$16:$X$26,PedTblTijden!H$14,FALSE),"")</f>
        <v/>
      </c>
      <c r="O21" s="12" t="str">
        <f>IF(OR($D21="1 dd",$D21="2 dd",$D21="3 dd",$D21="4 dd",$D21="6 dd",$D21="8 dd",$D21="12 dd",$D21="an",$D21="1 X"),VLOOKUP($D21,PedTblTijden!$A$16:$X$26,PedTblTijden!I$14,FALSE),"")</f>
        <v/>
      </c>
      <c r="P21" s="93" t="str">
        <f>IF(OR($D21="1 dd",$D21="2 dd",$D21="3 dd",$D21="4 dd",$D21="6 dd",$D21="8 dd",$D21="12 dd",$D21="an",$D21="1 X"),VLOOKUP($D21,PedTblTijden!$A$16:$X$26,PedTblTijden!J$14,FALSE),"")</f>
        <v/>
      </c>
      <c r="Q21" s="12" t="str">
        <f>IF(OR($D21="1 dd",$D21="2 dd",$D21="3 dd",$D21="4 dd",$D21="6 dd",$D21="8 dd",$D21="12 dd",$D21="an",$D21="1 X"),VLOOKUP($D21,PedTblTijden!$A$16:$X$26,PedTblTijden!K$14,FALSE),"")</f>
        <v/>
      </c>
      <c r="R21" s="93" t="str">
        <f>IF(OR($D21="1 dd",$D21="2 dd",$D21="3 dd",$D21="4 dd",$D21="6 dd",$D21="8 dd",$D21="12 dd",$D21="an",$D21="1 X"),VLOOKUP($D21,PedTblTijden!$A$16:$X$26,PedTblTijden!L$14,FALSE),"")</f>
        <v/>
      </c>
      <c r="S21" s="12" t="str">
        <f>IF(OR($D21="1 dd",$D21="2 dd",$D21="3 dd",$D21="4 dd",$D21="6 dd",$D21="8 dd",$D21="12 dd",$D21="an",$D21="1 X"),VLOOKUP($D21,PedTblTijden!$A$16:$X$26,PedTblTijden!M$14,FALSE),"")</f>
        <v/>
      </c>
      <c r="T21" s="93" t="str">
        <f>IF(OR($D21="1 dd",$D21="2 dd",$D21="3 dd",$D21="4 dd",$D21="6 dd",$D21="8 dd",$D21="12 dd",$D21="an",$D21="1 X"),VLOOKUP($D21,PedTblTijden!$A$16:$X$26,PedTblTijden!N$14,FALSE),"")</f>
        <v/>
      </c>
      <c r="U21" s="12" t="str">
        <f>IF(OR($D21="1 dd",$D21="2 dd",$D21="3 dd",$D21="4 dd",$D21="6 dd",$D21="8 dd",$D21="12 dd",$D21="an",$D21="1 X"),VLOOKUP($D21,PedTblTijden!$A$16:$X$26,PedTblTijden!O$14,FALSE),"")</f>
        <v/>
      </c>
      <c r="V21" s="93" t="str">
        <f>IF(OR($D21="1 dd",$D21="2 dd",$D21="3 dd",$D21="4 dd",$D21="6 dd",$D21="8 dd",$D21="12 dd",$D21="an",$D21="1 X"),VLOOKUP($D21,PedTblTijden!$A$16:$X$26,PedTblTijden!P$14,FALSE),"")</f>
        <v/>
      </c>
      <c r="W21" s="12" t="str">
        <f>IF(OR($D21="1 dd",$D21="2 dd",$D21="3 dd",$D21="4 dd",$D21="6 dd",$D21="8 dd",$D21="12 dd",$D21="an",$D21="1 X"),VLOOKUP($D21,PedTblTijden!$A$16:$X$26,PedTblTijden!Q$14,FALSE),"")</f>
        <v/>
      </c>
      <c r="X21" s="93" t="str">
        <f>IF(OR($D21="1 dd",$D21="2 dd",$D21="3 dd",$D21="4 dd",$D21="6 dd",$D21="8 dd",$D21="12 dd",$D21="an",$D21="1 X"),VLOOKUP($D21,PedTblTijden!$A$16:$X$26,PedTblTijden!R$14,FALSE),"")</f>
        <v/>
      </c>
      <c r="Y21" s="12" t="str">
        <f>IF(OR($D21="1 dd",$D21="2 dd",$D21="3 dd",$D21="4 dd",$D21="6 dd",$D21="8 dd",$D21="12 dd",$D21="an",$D21="1 X"),VLOOKUP($D21,PedTblTijden!$A$16:$X$26,PedTblTijden!S$14,FALSE),"")</f>
        <v/>
      </c>
      <c r="Z21" s="93" t="str">
        <f>IF(OR($D21="1 dd",$D21="2 dd",$D21="3 dd",$D21="4 dd",$D21="6 dd",$D21="8 dd",$D21="12 dd",$D21="an",$D21="1 X"),VLOOKUP($D21,PedTblTijden!$A$16:$X$26,PedTblTijden!T$14,FALSE),"")</f>
        <v/>
      </c>
      <c r="AA21" s="12" t="str">
        <f>IF(OR($D21="1 dd",$D21="2 dd",$D21="3 dd",$D21="4 dd",$D21="6 dd",$D21="8 dd",$D21="12 dd",$D21="an",$D21="1 X"),VLOOKUP($D21,PedTblTijden!$A$16:$X$26,PedTblTijden!U$14,FALSE),"")</f>
        <v/>
      </c>
      <c r="AB21" s="93" t="str">
        <f>IF(OR($D21="1 dd",$D21="2 dd",$D21="3 dd",$D21="4 dd",$D21="6 dd",$D21="8 dd",$D21="12 dd",$D21="an",$D21="1 X"),VLOOKUP($D21,PedTblTijden!$A$16:$X$26,PedTblTijden!V$14,FALSE),"")</f>
        <v/>
      </c>
      <c r="AC21" s="12" t="str">
        <f>IF(OR($D21="1 dd",$D21="2 dd",$D21="3 dd",$D21="4 dd",$D21="6 dd",$D21="8 dd",$D21="12 dd",$D21="an",$D21="1 X"),VLOOKUP($D21,PedTblTijden!$A$16:$X$26,PedTblTijden!W$14,FALSE),"")</f>
        <v/>
      </c>
      <c r="AD21" s="93" t="str">
        <f>IF(OR($D21="1 dd",$D21="2 dd",$D21="3 dd",$D21="4 dd",$D21="6 dd",$D21="8 dd",$D21="12 dd",$D21="an",$D21="1 X"),VLOOKUP($D21,PedTblTijden!$A$16:$X$26,PedTblTijden!X$14,FALSE),"")</f>
        <v/>
      </c>
      <c r="AE21" s="14"/>
      <c r="AF21" s="92"/>
      <c r="AG21" s="14"/>
    </row>
    <row r="22" spans="2:33" ht="26.1" customHeight="1" x14ac:dyDescent="0.2">
      <c r="B22" s="94"/>
      <c r="C22" s="125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26" t="str">
        <f>IF(GlobGuiMedDisc!I28&lt;&gt;"",GlobGuiMedDisc!I28,"")</f>
        <v/>
      </c>
      <c r="E22" s="127" t="str">
        <f>IF(AND(D22&lt;&gt;"",D22&lt;&gt;"STOP"),GlobBerMedDisc!H21&amp;" "&amp;GlobBerMedDisc!F21,"")</f>
        <v/>
      </c>
      <c r="F22" s="127" t="str">
        <f>IF(AND(D22&lt;&gt;"",D22&lt;&gt;"STOP"),GlobBerMedDisc!L21," ")</f>
        <v xml:space="preserve"> </v>
      </c>
      <c r="G22" s="127" t="str">
        <f>IF(GlobGuiMedDisc!N28&lt;&gt;"",GlobGuiMedDisc!N28&amp;" "&amp;GlobGuiMedDisc!O28&amp;" "&amp;INDEX(GlobBerMedDisc!$B$27:$B$30,GlobBerMedDisc!O21,1)&amp;" in "&amp;GlobGuiMedDisc!$R$28,"")</f>
        <v/>
      </c>
      <c r="H22" s="93" t="str">
        <f>IF(OR($D22="1 dd",$D22="2 dd",$D22="3 dd",$D22="4 dd",$D22="6 dd",$D22="8 dd",$D22="12 dd",$D22="an",$D22="1 X"),VLOOKUP($D22,PedTblTijden!$A$16:$X$26,PedTblTijden!B$14,FALSE),"")</f>
        <v/>
      </c>
      <c r="I22" s="12" t="str">
        <f>IF(OR($D22="1 dd",$D22="2 dd",$D22="3 dd",$D22="4 dd",$D22="6 dd",$D22="8 dd",$D22="12 dd",$D22="an",$D22="1 X"),VLOOKUP($D22,PedTblTijden!$A$16:$X$26,PedTblTijden!C$14,FALSE),"")</f>
        <v/>
      </c>
      <c r="J22" s="93" t="str">
        <f>IF(OR($D22="1 dd",$D22="2 dd",$D22="3 dd",$D22="4 dd",$D22="6 dd",$D22="8 dd",$D22="12 dd",$D22="an",$D22="1 X"),VLOOKUP($D22,PedTblTijden!$A$16:$X$26,PedTblTijden!D$14,FALSE),"")</f>
        <v/>
      </c>
      <c r="K22" s="12" t="str">
        <f>IF(OR($D22="1 dd",$D22="2 dd",$D22="3 dd",$D22="4 dd",$D22="6 dd",$D22="8 dd",$D22="12 dd",$D22="an",$D22="1 X"),VLOOKUP($D22,PedTblTijden!$A$16:$X$26,PedTblTijden!E$14,FALSE),"")</f>
        <v/>
      </c>
      <c r="L22" s="93" t="str">
        <f>IF(OR($D22="1 dd",$D22="2 dd",$D22="3 dd",$D22="4 dd",$D22="6 dd",$D22="8 dd",$D22="12 dd",$D22="an",$D22="1 X"),VLOOKUP($D22,PedTblTijden!$A$16:$X$26,PedTblTijden!F$14,FALSE),"")</f>
        <v/>
      </c>
      <c r="M22" s="12" t="str">
        <f>IF(OR($D22="1 dd",$D22="2 dd",$D22="3 dd",$D22="4 dd",$D22="6 dd",$D22="8 dd",$D22="12 dd",$D22="an",$D22="1 X"),VLOOKUP($D22,PedTblTijden!$A$16:$X$26,PedTblTijden!G$14,FALSE),"")</f>
        <v/>
      </c>
      <c r="N22" s="93" t="str">
        <f>IF(OR($D22="1 dd",$D22="2 dd",$D22="3 dd",$D22="4 dd",$D22="6 dd",$D22="8 dd",$D22="12 dd",$D22="an",$D22="1 X"),VLOOKUP($D22,PedTblTijden!$A$16:$X$26,PedTblTijden!H$14,FALSE),"")</f>
        <v/>
      </c>
      <c r="O22" s="12" t="str">
        <f>IF(OR($D22="1 dd",$D22="2 dd",$D22="3 dd",$D22="4 dd",$D22="6 dd",$D22="8 dd",$D22="12 dd",$D22="an",$D22="1 X"),VLOOKUP($D22,PedTblTijden!$A$16:$X$26,PedTblTijden!I$14,FALSE),"")</f>
        <v/>
      </c>
      <c r="P22" s="93" t="str">
        <f>IF(OR($D22="1 dd",$D22="2 dd",$D22="3 dd",$D22="4 dd",$D22="6 dd",$D22="8 dd",$D22="12 dd",$D22="an",$D22="1 X"),VLOOKUP($D22,PedTblTijden!$A$16:$X$26,PedTblTijden!J$14,FALSE),"")</f>
        <v/>
      </c>
      <c r="Q22" s="12" t="str">
        <f>IF(OR($D22="1 dd",$D22="2 dd",$D22="3 dd",$D22="4 dd",$D22="6 dd",$D22="8 dd",$D22="12 dd",$D22="an",$D22="1 X"),VLOOKUP($D22,PedTblTijden!$A$16:$X$26,PedTblTijden!K$14,FALSE),"")</f>
        <v/>
      </c>
      <c r="R22" s="93" t="str">
        <f>IF(OR($D22="1 dd",$D22="2 dd",$D22="3 dd",$D22="4 dd",$D22="6 dd",$D22="8 dd",$D22="12 dd",$D22="an",$D22="1 X"),VLOOKUP($D22,PedTblTijden!$A$16:$X$26,PedTblTijden!L$14,FALSE),"")</f>
        <v/>
      </c>
      <c r="S22" s="12" t="str">
        <f>IF(OR($D22="1 dd",$D22="2 dd",$D22="3 dd",$D22="4 dd",$D22="6 dd",$D22="8 dd",$D22="12 dd",$D22="an",$D22="1 X"),VLOOKUP($D22,PedTblTijden!$A$16:$X$26,PedTblTijden!M$14,FALSE),"")</f>
        <v/>
      </c>
      <c r="T22" s="93" t="str">
        <f>IF(OR($D22="1 dd",$D22="2 dd",$D22="3 dd",$D22="4 dd",$D22="6 dd",$D22="8 dd",$D22="12 dd",$D22="an",$D22="1 X"),VLOOKUP($D22,PedTblTijden!$A$16:$X$26,PedTblTijden!N$14,FALSE),"")</f>
        <v/>
      </c>
      <c r="U22" s="12" t="str">
        <f>IF(OR($D22="1 dd",$D22="2 dd",$D22="3 dd",$D22="4 dd",$D22="6 dd",$D22="8 dd",$D22="12 dd",$D22="an",$D22="1 X"),VLOOKUP($D22,PedTblTijden!$A$16:$X$26,PedTblTijden!O$14,FALSE),"")</f>
        <v/>
      </c>
      <c r="V22" s="93" t="str">
        <f>IF(OR($D22="1 dd",$D22="2 dd",$D22="3 dd",$D22="4 dd",$D22="6 dd",$D22="8 dd",$D22="12 dd",$D22="an",$D22="1 X"),VLOOKUP($D22,PedTblTijden!$A$16:$X$26,PedTblTijden!P$14,FALSE),"")</f>
        <v/>
      </c>
      <c r="W22" s="12" t="str">
        <f>IF(OR($D22="1 dd",$D22="2 dd",$D22="3 dd",$D22="4 dd",$D22="6 dd",$D22="8 dd",$D22="12 dd",$D22="an",$D22="1 X"),VLOOKUP($D22,PedTblTijden!$A$16:$X$26,PedTblTijden!Q$14,FALSE),"")</f>
        <v/>
      </c>
      <c r="X22" s="93" t="str">
        <f>IF(OR($D22="1 dd",$D22="2 dd",$D22="3 dd",$D22="4 dd",$D22="6 dd",$D22="8 dd",$D22="12 dd",$D22="an",$D22="1 X"),VLOOKUP($D22,PedTblTijden!$A$16:$X$26,PedTblTijden!R$14,FALSE),"")</f>
        <v/>
      </c>
      <c r="Y22" s="12" t="str">
        <f>IF(OR($D22="1 dd",$D22="2 dd",$D22="3 dd",$D22="4 dd",$D22="6 dd",$D22="8 dd",$D22="12 dd",$D22="an",$D22="1 X"),VLOOKUP($D22,PedTblTijden!$A$16:$X$26,PedTblTijden!S$14,FALSE),"")</f>
        <v/>
      </c>
      <c r="Z22" s="93" t="str">
        <f>IF(OR($D22="1 dd",$D22="2 dd",$D22="3 dd",$D22="4 dd",$D22="6 dd",$D22="8 dd",$D22="12 dd",$D22="an",$D22="1 X"),VLOOKUP($D22,PedTblTijden!$A$16:$X$26,PedTblTijden!T$14,FALSE),"")</f>
        <v/>
      </c>
      <c r="AA22" s="12" t="str">
        <f>IF(OR($D22="1 dd",$D22="2 dd",$D22="3 dd",$D22="4 dd",$D22="6 dd",$D22="8 dd",$D22="12 dd",$D22="an",$D22="1 X"),VLOOKUP($D22,PedTblTijden!$A$16:$X$26,PedTblTijden!U$14,FALSE),"")</f>
        <v/>
      </c>
      <c r="AB22" s="93" t="str">
        <f>IF(OR($D22="1 dd",$D22="2 dd",$D22="3 dd",$D22="4 dd",$D22="6 dd",$D22="8 dd",$D22="12 dd",$D22="an",$D22="1 X"),VLOOKUP($D22,PedTblTijden!$A$16:$X$26,PedTblTijden!V$14,FALSE),"")</f>
        <v/>
      </c>
      <c r="AC22" s="12" t="str">
        <f>IF(OR($D22="1 dd",$D22="2 dd",$D22="3 dd",$D22="4 dd",$D22="6 dd",$D22="8 dd",$D22="12 dd",$D22="an",$D22="1 X"),VLOOKUP($D22,PedTblTijden!$A$16:$X$26,PedTblTijden!W$14,FALSE),"")</f>
        <v/>
      </c>
      <c r="AD22" s="93" t="str">
        <f>IF(OR($D22="1 dd",$D22="2 dd",$D22="3 dd",$D22="4 dd",$D22="6 dd",$D22="8 dd",$D22="12 dd",$D22="an",$D22="1 X"),VLOOKUP($D22,PedTblTijden!$A$16:$X$26,PedTblTijden!X$14,FALSE),"")</f>
        <v/>
      </c>
      <c r="AE22" s="14"/>
      <c r="AF22" s="92"/>
      <c r="AG22" s="14"/>
    </row>
  </sheetData>
  <sheetProtection password="CC20" sheet="1" objects="1" scenario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11"/>
    <col min="2" max="25" width="4.7109375" style="311" customWidth="1"/>
    <col min="26" max="16384" width="9.140625" style="311"/>
  </cols>
  <sheetData>
    <row r="1" spans="1:25" x14ac:dyDescent="0.2">
      <c r="A1" s="352" t="s">
        <v>386</v>
      </c>
    </row>
    <row r="2" spans="1:25" x14ac:dyDescent="0.2">
      <c r="A2" s="311" t="s">
        <v>377</v>
      </c>
      <c r="B2" s="311">
        <v>20</v>
      </c>
    </row>
    <row r="3" spans="1:25" x14ac:dyDescent="0.2">
      <c r="A3" s="311" t="s">
        <v>387</v>
      </c>
      <c r="B3" s="311">
        <v>9</v>
      </c>
    </row>
    <row r="4" spans="1:25" x14ac:dyDescent="0.2">
      <c r="A4" s="311" t="s">
        <v>388</v>
      </c>
      <c r="B4" s="311">
        <v>9</v>
      </c>
      <c r="C4" s="311">
        <v>21</v>
      </c>
    </row>
    <row r="5" spans="1:25" x14ac:dyDescent="0.2">
      <c r="A5" s="311" t="s">
        <v>389</v>
      </c>
      <c r="B5" s="311">
        <v>9</v>
      </c>
      <c r="C5" s="311">
        <v>17</v>
      </c>
      <c r="D5" s="311">
        <v>1</v>
      </c>
    </row>
    <row r="6" spans="1:25" x14ac:dyDescent="0.2">
      <c r="A6" s="352" t="s">
        <v>390</v>
      </c>
      <c r="B6" s="311">
        <v>9</v>
      </c>
      <c r="C6" s="311">
        <v>15</v>
      </c>
      <c r="D6" s="311">
        <v>21</v>
      </c>
      <c r="E6" s="311">
        <v>3</v>
      </c>
    </row>
    <row r="7" spans="1:25" x14ac:dyDescent="0.2">
      <c r="A7" s="356" t="s">
        <v>435</v>
      </c>
      <c r="B7" s="311">
        <v>9</v>
      </c>
      <c r="C7" s="311">
        <v>12</v>
      </c>
      <c r="D7" s="311">
        <v>15</v>
      </c>
      <c r="E7" s="311">
        <v>18</v>
      </c>
      <c r="F7" s="311">
        <v>22</v>
      </c>
    </row>
    <row r="8" spans="1:25" x14ac:dyDescent="0.2">
      <c r="A8" s="311" t="s">
        <v>176</v>
      </c>
      <c r="B8" s="311">
        <v>9</v>
      </c>
      <c r="C8" s="311">
        <v>13</v>
      </c>
      <c r="D8" s="311">
        <v>17</v>
      </c>
      <c r="E8" s="311">
        <v>21</v>
      </c>
      <c r="F8" s="311">
        <v>1</v>
      </c>
      <c r="G8" s="311">
        <v>5</v>
      </c>
    </row>
    <row r="9" spans="1:25" x14ac:dyDescent="0.2">
      <c r="A9" s="311" t="s">
        <v>177</v>
      </c>
      <c r="B9" s="311">
        <v>11</v>
      </c>
      <c r="C9" s="311">
        <v>14</v>
      </c>
      <c r="D9" s="311">
        <v>17</v>
      </c>
      <c r="E9" s="311">
        <v>20</v>
      </c>
      <c r="F9" s="311">
        <v>23</v>
      </c>
      <c r="G9" s="311">
        <v>2</v>
      </c>
      <c r="H9" s="311">
        <v>5</v>
      </c>
      <c r="I9" s="311">
        <v>8</v>
      </c>
    </row>
    <row r="10" spans="1:25" x14ac:dyDescent="0.2">
      <c r="A10" s="311" t="s">
        <v>178</v>
      </c>
      <c r="B10" s="311">
        <v>9</v>
      </c>
      <c r="C10" s="311">
        <v>11</v>
      </c>
      <c r="D10" s="311">
        <v>13</v>
      </c>
      <c r="E10" s="311">
        <v>15</v>
      </c>
      <c r="F10" s="311">
        <v>17</v>
      </c>
      <c r="G10" s="311">
        <v>19</v>
      </c>
      <c r="H10" s="311">
        <v>21</v>
      </c>
      <c r="I10" s="311">
        <v>23</v>
      </c>
      <c r="J10" s="311">
        <v>1</v>
      </c>
      <c r="K10" s="311">
        <v>3</v>
      </c>
      <c r="L10" s="311">
        <v>5</v>
      </c>
      <c r="M10" s="311">
        <v>7</v>
      </c>
    </row>
    <row r="11" spans="1:25" x14ac:dyDescent="0.2">
      <c r="A11" s="311" t="s">
        <v>26</v>
      </c>
      <c r="B11" s="311">
        <v>9</v>
      </c>
      <c r="C11" s="311">
        <v>10</v>
      </c>
      <c r="D11" s="311">
        <v>11</v>
      </c>
      <c r="E11" s="311">
        <v>12</v>
      </c>
      <c r="F11" s="311">
        <v>13</v>
      </c>
      <c r="G11" s="311">
        <v>14</v>
      </c>
      <c r="H11" s="311">
        <v>15</v>
      </c>
      <c r="I11" s="311">
        <v>16</v>
      </c>
      <c r="J11" s="311">
        <v>17</v>
      </c>
      <c r="K11" s="311">
        <v>18</v>
      </c>
      <c r="L11" s="311">
        <v>19</v>
      </c>
      <c r="M11" s="311">
        <v>20</v>
      </c>
      <c r="N11" s="311">
        <v>21</v>
      </c>
      <c r="O11" s="311">
        <v>22</v>
      </c>
      <c r="P11" s="311">
        <v>23</v>
      </c>
      <c r="Q11" s="311">
        <v>24</v>
      </c>
      <c r="R11" s="311">
        <v>1</v>
      </c>
      <c r="S11" s="311">
        <v>2</v>
      </c>
      <c r="T11" s="311">
        <v>3</v>
      </c>
      <c r="U11" s="311">
        <v>4</v>
      </c>
      <c r="V11" s="311">
        <v>5</v>
      </c>
      <c r="W11" s="311">
        <v>6</v>
      </c>
      <c r="X11" s="311">
        <v>7</v>
      </c>
      <c r="Y11" s="311">
        <v>8</v>
      </c>
    </row>
    <row r="13" spans="1:25" x14ac:dyDescent="0.2">
      <c r="A13" s="311">
        <v>10</v>
      </c>
      <c r="B13" s="311" t="s">
        <v>387</v>
      </c>
      <c r="C13" s="311" t="s">
        <v>388</v>
      </c>
      <c r="D13" s="311" t="s">
        <v>389</v>
      </c>
      <c r="E13" s="311" t="s">
        <v>390</v>
      </c>
      <c r="F13" s="312" t="s">
        <v>435</v>
      </c>
      <c r="G13" s="312" t="s">
        <v>176</v>
      </c>
      <c r="H13" s="312" t="s">
        <v>177</v>
      </c>
      <c r="I13" s="312" t="s">
        <v>178</v>
      </c>
      <c r="J13" s="312" t="s">
        <v>26</v>
      </c>
    </row>
    <row r="15" spans="1:25" x14ac:dyDescent="0.2">
      <c r="B15" s="311">
        <v>2</v>
      </c>
      <c r="C15" s="311">
        <v>3</v>
      </c>
      <c r="D15" s="311">
        <v>4</v>
      </c>
      <c r="E15" s="311">
        <v>5</v>
      </c>
      <c r="F15" s="311">
        <v>6</v>
      </c>
      <c r="G15" s="311">
        <v>7</v>
      </c>
      <c r="H15" s="311">
        <v>8</v>
      </c>
      <c r="I15" s="311">
        <v>9</v>
      </c>
      <c r="J15" s="311">
        <v>10</v>
      </c>
      <c r="K15" s="311">
        <v>11</v>
      </c>
      <c r="L15" s="311">
        <v>12</v>
      </c>
      <c r="M15" s="311">
        <v>13</v>
      </c>
      <c r="N15" s="311">
        <v>14</v>
      </c>
      <c r="O15" s="311">
        <v>15</v>
      </c>
      <c r="P15" s="311">
        <v>16</v>
      </c>
      <c r="Q15" s="311">
        <v>17</v>
      </c>
      <c r="R15" s="311">
        <v>18</v>
      </c>
      <c r="S15" s="311">
        <v>19</v>
      </c>
      <c r="T15" s="311">
        <v>20</v>
      </c>
      <c r="U15" s="311">
        <v>21</v>
      </c>
      <c r="V15" s="311">
        <v>22</v>
      </c>
      <c r="W15" s="311">
        <v>23</v>
      </c>
      <c r="X15" s="311">
        <v>24</v>
      </c>
      <c r="Y15" s="311">
        <v>25</v>
      </c>
    </row>
    <row r="16" spans="1:25" x14ac:dyDescent="0.2">
      <c r="B16" s="11">
        <v>9</v>
      </c>
      <c r="C16" s="11">
        <v>10</v>
      </c>
      <c r="D16" s="11">
        <v>11</v>
      </c>
      <c r="E16" s="11">
        <v>12</v>
      </c>
      <c r="F16" s="11">
        <v>13</v>
      </c>
      <c r="G16" s="11">
        <v>14</v>
      </c>
      <c r="H16" s="11">
        <v>15</v>
      </c>
      <c r="I16" s="11">
        <v>16</v>
      </c>
      <c r="J16" s="11">
        <v>17</v>
      </c>
      <c r="K16" s="11">
        <v>18</v>
      </c>
      <c r="L16" s="11">
        <v>19</v>
      </c>
      <c r="M16" s="11">
        <v>20</v>
      </c>
      <c r="N16" s="11">
        <v>21</v>
      </c>
      <c r="O16" s="11">
        <v>22</v>
      </c>
      <c r="P16" s="11">
        <v>23</v>
      </c>
      <c r="Q16" s="11">
        <v>24</v>
      </c>
      <c r="R16" s="11">
        <v>1</v>
      </c>
      <c r="S16" s="11">
        <v>2</v>
      </c>
      <c r="T16" s="11">
        <v>3</v>
      </c>
      <c r="U16" s="11">
        <v>4</v>
      </c>
      <c r="V16" s="11">
        <v>5</v>
      </c>
      <c r="W16" s="11">
        <v>6</v>
      </c>
      <c r="X16" s="11">
        <v>7</v>
      </c>
      <c r="Y16" s="11">
        <v>8</v>
      </c>
    </row>
    <row r="17" spans="1:25" x14ac:dyDescent="0.2">
      <c r="A17" s="311" t="s">
        <v>387</v>
      </c>
      <c r="B17" s="12" t="s">
        <v>179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</row>
    <row r="18" spans="1:25" x14ac:dyDescent="0.2">
      <c r="A18" s="311" t="s">
        <v>388</v>
      </c>
      <c r="B18" s="12" t="s">
        <v>179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 t="s">
        <v>179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2">
      <c r="A19" s="311" t="s">
        <v>389</v>
      </c>
      <c r="B19" s="12" t="s">
        <v>179</v>
      </c>
      <c r="C19" s="12"/>
      <c r="D19" s="12"/>
      <c r="E19" s="12"/>
      <c r="F19" s="12"/>
      <c r="G19" s="12"/>
      <c r="H19" s="12"/>
      <c r="I19" s="12"/>
      <c r="J19" s="12" t="s">
        <v>179</v>
      </c>
      <c r="K19" s="12"/>
      <c r="L19" s="12"/>
      <c r="M19" s="12"/>
      <c r="N19" s="12"/>
      <c r="O19" s="12"/>
      <c r="P19" s="12"/>
      <c r="Q19" s="12"/>
      <c r="R19" s="12" t="s">
        <v>179</v>
      </c>
      <c r="S19" s="12"/>
      <c r="T19" s="12"/>
      <c r="U19" s="12"/>
      <c r="V19" s="12"/>
      <c r="W19" s="12"/>
      <c r="X19" s="12"/>
      <c r="Y19" s="12"/>
    </row>
    <row r="20" spans="1:25" x14ac:dyDescent="0.2">
      <c r="A20" s="311" t="s">
        <v>390</v>
      </c>
      <c r="B20" s="12" t="s">
        <v>179</v>
      </c>
      <c r="C20" s="12"/>
      <c r="D20" s="12"/>
      <c r="E20" s="12"/>
      <c r="F20" s="12"/>
      <c r="G20" s="12"/>
      <c r="H20" s="12" t="s">
        <v>179</v>
      </c>
      <c r="I20" s="12"/>
      <c r="J20" s="12"/>
      <c r="K20" s="12"/>
      <c r="L20" s="12"/>
      <c r="M20" s="12"/>
      <c r="N20" s="12" t="s">
        <v>179</v>
      </c>
      <c r="O20" s="12"/>
      <c r="P20" s="12"/>
      <c r="Q20" s="12"/>
      <c r="R20" s="12"/>
      <c r="S20" s="12"/>
      <c r="T20" s="12" t="s">
        <v>179</v>
      </c>
      <c r="U20" s="12"/>
      <c r="V20" s="12"/>
      <c r="W20" s="12"/>
      <c r="X20" s="12"/>
      <c r="Y20" s="12"/>
    </row>
    <row r="21" spans="1:25" x14ac:dyDescent="0.2">
      <c r="A21" s="311" t="s">
        <v>435</v>
      </c>
      <c r="B21" s="12" t="s">
        <v>179</v>
      </c>
      <c r="C21" s="12"/>
      <c r="D21" s="12"/>
      <c r="E21" s="12" t="s">
        <v>179</v>
      </c>
      <c r="F21" s="12"/>
      <c r="G21" s="12"/>
      <c r="H21" s="12" t="s">
        <v>179</v>
      </c>
      <c r="I21" s="12"/>
      <c r="J21" s="12"/>
      <c r="K21" s="12" t="s">
        <v>179</v>
      </c>
      <c r="L21" s="12"/>
      <c r="M21" s="12"/>
      <c r="N21" s="12"/>
      <c r="O21" s="12" t="s">
        <v>179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2">
      <c r="A22" s="311" t="s">
        <v>176</v>
      </c>
      <c r="B22" s="12" t="s">
        <v>179</v>
      </c>
      <c r="C22" s="12"/>
      <c r="D22" s="12"/>
      <c r="E22" s="12"/>
      <c r="F22" s="12" t="s">
        <v>179</v>
      </c>
      <c r="G22" s="12"/>
      <c r="H22" s="12"/>
      <c r="I22" s="12"/>
      <c r="J22" s="12" t="s">
        <v>179</v>
      </c>
      <c r="K22" s="12"/>
      <c r="L22" s="12"/>
      <c r="M22" s="12"/>
      <c r="N22" s="12" t="s">
        <v>179</v>
      </c>
      <c r="O22" s="12"/>
      <c r="P22" s="12"/>
      <c r="Q22" s="12"/>
      <c r="R22" s="12" t="s">
        <v>179</v>
      </c>
      <c r="S22" s="12"/>
      <c r="T22" s="12"/>
      <c r="U22" s="12"/>
      <c r="V22" s="12" t="s">
        <v>179</v>
      </c>
      <c r="X22" s="12"/>
      <c r="Y22" s="12"/>
    </row>
    <row r="23" spans="1:25" x14ac:dyDescent="0.2">
      <c r="A23" s="312" t="s">
        <v>177</v>
      </c>
      <c r="B23" s="12"/>
      <c r="C23" s="12"/>
      <c r="D23" s="12" t="s">
        <v>179</v>
      </c>
      <c r="E23" s="12"/>
      <c r="F23" s="12"/>
      <c r="G23" s="12" t="s">
        <v>179</v>
      </c>
      <c r="H23" s="12"/>
      <c r="I23" s="12"/>
      <c r="J23" s="12" t="s">
        <v>179</v>
      </c>
      <c r="K23" s="12"/>
      <c r="L23" s="12"/>
      <c r="M23" s="12" t="s">
        <v>179</v>
      </c>
      <c r="N23" s="12"/>
      <c r="O23" s="12"/>
      <c r="P23" s="12" t="s">
        <v>179</v>
      </c>
      <c r="Q23" s="12"/>
      <c r="R23" s="12"/>
      <c r="S23" s="12" t="s">
        <v>179</v>
      </c>
      <c r="T23" s="12"/>
      <c r="U23" s="12"/>
      <c r="V23" s="12" t="s">
        <v>179</v>
      </c>
      <c r="W23" s="12"/>
      <c r="X23" s="12"/>
      <c r="Y23" s="12" t="s">
        <v>179</v>
      </c>
    </row>
    <row r="24" spans="1:25" x14ac:dyDescent="0.2">
      <c r="A24" s="312" t="s">
        <v>178</v>
      </c>
      <c r="B24" s="12" t="s">
        <v>179</v>
      </c>
      <c r="C24" s="12"/>
      <c r="D24" s="12" t="s">
        <v>179</v>
      </c>
      <c r="E24" s="12"/>
      <c r="F24" s="12" t="s">
        <v>179</v>
      </c>
      <c r="G24" s="12"/>
      <c r="H24" s="12" t="s">
        <v>179</v>
      </c>
      <c r="I24" s="12"/>
      <c r="J24" s="12" t="s">
        <v>179</v>
      </c>
      <c r="K24" s="12"/>
      <c r="L24" s="12" t="s">
        <v>179</v>
      </c>
      <c r="M24" s="12"/>
      <c r="N24" s="12" t="s">
        <v>179</v>
      </c>
      <c r="O24" s="12"/>
      <c r="P24" s="12" t="s">
        <v>179</v>
      </c>
      <c r="Q24" s="12"/>
      <c r="R24" s="12" t="s">
        <v>179</v>
      </c>
      <c r="S24" s="12"/>
      <c r="T24" s="12" t="s">
        <v>179</v>
      </c>
      <c r="U24" s="12"/>
      <c r="V24" s="12" t="s">
        <v>179</v>
      </c>
      <c r="W24" s="12"/>
      <c r="X24" s="12" t="s">
        <v>179</v>
      </c>
      <c r="Y24" s="12"/>
    </row>
    <row r="25" spans="1:25" x14ac:dyDescent="0.2">
      <c r="A25" s="312" t="s">
        <v>26</v>
      </c>
      <c r="B25" s="12" t="s">
        <v>179</v>
      </c>
      <c r="C25" s="12" t="s">
        <v>179</v>
      </c>
      <c r="D25" s="12" t="s">
        <v>179</v>
      </c>
      <c r="E25" s="12" t="s">
        <v>179</v>
      </c>
      <c r="F25" s="12" t="s">
        <v>179</v>
      </c>
      <c r="G25" s="12" t="s">
        <v>179</v>
      </c>
      <c r="H25" s="12" t="s">
        <v>179</v>
      </c>
      <c r="I25" s="12" t="s">
        <v>179</v>
      </c>
      <c r="J25" s="12" t="s">
        <v>179</v>
      </c>
      <c r="K25" s="12" t="s">
        <v>179</v>
      </c>
      <c r="L25" s="12" t="s">
        <v>179</v>
      </c>
      <c r="M25" s="12" t="s">
        <v>179</v>
      </c>
      <c r="N25" s="12" t="s">
        <v>179</v>
      </c>
      <c r="O25" s="12" t="s">
        <v>179</v>
      </c>
      <c r="P25" s="12" t="s">
        <v>179</v>
      </c>
      <c r="Q25" s="12" t="s">
        <v>179</v>
      </c>
      <c r="R25" s="12" t="s">
        <v>179</v>
      </c>
      <c r="S25" s="12" t="s">
        <v>179</v>
      </c>
      <c r="T25" s="12" t="s">
        <v>179</v>
      </c>
      <c r="U25" s="12" t="s">
        <v>179</v>
      </c>
      <c r="V25" s="12" t="s">
        <v>179</v>
      </c>
      <c r="W25" s="12" t="s">
        <v>179</v>
      </c>
      <c r="X25" s="12" t="s">
        <v>179</v>
      </c>
      <c r="Y25" s="12" t="s">
        <v>179</v>
      </c>
    </row>
    <row r="26" spans="1:25" x14ac:dyDescent="0.2">
      <c r="A26" s="312" t="s">
        <v>367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179</v>
      </c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2">
      <c r="A27" s="312" t="s">
        <v>436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</sheetData>
  <pageMargins left="0.75" right="0.75" top="1" bottom="1" header="0.5" footer="0.5"/>
  <pageSetup paperSize="9"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96" customFormat="1" x14ac:dyDescent="0.2">
      <c r="A1" s="361"/>
    </row>
    <row r="2" spans="1:17" s="96" customFormat="1" ht="17.25" customHeight="1" x14ac:dyDescent="0.2">
      <c r="B2" s="97" t="s">
        <v>297</v>
      </c>
      <c r="C2" s="98">
        <f ca="1">Var_AfspraakDatum</f>
        <v>42751</v>
      </c>
      <c r="D2" s="99"/>
      <c r="E2" s="97" t="s">
        <v>298</v>
      </c>
      <c r="F2" s="100">
        <f>_Pat_OpnDatum</f>
        <v>1462</v>
      </c>
      <c r="G2" s="97" t="str">
        <f ca="1">"ICU-dag: "&amp;Var_AfspraakDatum-_Pat_OpnDatum+1</f>
        <v>ICU-dag: 41290</v>
      </c>
      <c r="H2" s="97"/>
      <c r="I2" s="153" t="s">
        <v>490</v>
      </c>
      <c r="J2" s="102">
        <f>__1_Bed</f>
        <v>0</v>
      </c>
    </row>
    <row r="3" spans="1:17" s="96" customFormat="1" ht="17.25" customHeight="1" x14ac:dyDescent="0.2">
      <c r="B3" s="97" t="s">
        <v>28</v>
      </c>
      <c r="C3" s="101" t="str">
        <f>__2_AchterNaam&amp;", "&amp;__3_VoorNaam</f>
        <v xml:space="preserve">, </v>
      </c>
      <c r="D3" s="101"/>
      <c r="E3" s="97" t="s">
        <v>305</v>
      </c>
      <c r="F3" s="100">
        <f>__4_GebDatum</f>
        <v>1462</v>
      </c>
      <c r="G3" s="102" t="str">
        <f>"Gewicht: "&amp;_Pat_Gewicht/10&amp;" kg"</f>
        <v>Gewicht: 0 kg</v>
      </c>
      <c r="H3" s="97"/>
      <c r="I3" s="102" t="str">
        <f>"Lengte: "&amp;_Pat_Lengte&amp;" cm"</f>
        <v>Lengte: 0 cm</v>
      </c>
      <c r="J3" s="97"/>
    </row>
    <row r="4" spans="1:17" s="96" customFormat="1" ht="17.25" customHeight="1" x14ac:dyDescent="0.2">
      <c r="A4" s="107"/>
      <c r="B4" s="97" t="s">
        <v>338</v>
      </c>
      <c r="C4" s="102">
        <f>__0_PatNum</f>
        <v>0</v>
      </c>
      <c r="D4" s="99"/>
      <c r="E4" s="97" t="s">
        <v>268</v>
      </c>
      <c r="F4" s="104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97"/>
      <c r="I4" s="97" t="str">
        <f>"Lichamelijk oppervlak: "&amp;ROUND(POWER(_Pat_Gewicht/10,0.425)*POWER(((_Pat_Lengte/100)*100),0.725)*0.007184,2)&amp;" m2"</f>
        <v>Lichamelijk oppervlak: 0 m2</v>
      </c>
      <c r="J4" s="97"/>
    </row>
    <row r="5" spans="1:17" x14ac:dyDescent="0.2">
      <c r="G5" s="311"/>
      <c r="H5" s="311"/>
    </row>
    <row r="6" spans="1:17" x14ac:dyDescent="0.2">
      <c r="A6" s="352"/>
      <c r="B6" s="1" t="s">
        <v>694</v>
      </c>
      <c r="F6" s="1" t="s">
        <v>633</v>
      </c>
      <c r="G6" s="311"/>
      <c r="H6" s="1"/>
      <c r="I6" s="1" t="s">
        <v>701</v>
      </c>
      <c r="J6" s="311"/>
      <c r="K6" s="311"/>
      <c r="Q6" s="316"/>
    </row>
    <row r="7" spans="1:17" ht="18" customHeight="1" x14ac:dyDescent="0.2">
      <c r="G7" s="311"/>
      <c r="H7" s="311"/>
      <c r="I7" s="311"/>
      <c r="J7" s="311"/>
      <c r="K7" s="311"/>
      <c r="Q7" s="312"/>
    </row>
    <row r="8" spans="1:17" ht="18" customHeight="1" x14ac:dyDescent="0.2">
      <c r="C8" s="376" t="str">
        <f>IF(_Neo_AfsprD_GewichtFrequentie=0,"",_Neo_AfsprD_GewichtFrequentie)</f>
        <v/>
      </c>
      <c r="D8" s="344"/>
      <c r="G8" s="311"/>
      <c r="H8" s="311"/>
      <c r="I8" s="311"/>
      <c r="J8" s="376" t="str">
        <f>IF(_Neo_AfsprD_AantalLampen=0,"0 lamp(en)",CONCATENATE(_Neo_AfsprD_AantalLampen, " lamp(en)"))</f>
        <v>0 lamp(en)</v>
      </c>
      <c r="Q8" s="312"/>
    </row>
    <row r="9" spans="1:17" ht="18" customHeight="1" x14ac:dyDescent="0.2">
      <c r="C9" s="376" t="str">
        <f>IF(_Neo_AfsprD_LengteFrequentie=0,"",_Neo_AfsprD_LengteFrequentie)</f>
        <v/>
      </c>
      <c r="D9" s="344"/>
      <c r="G9" s="311"/>
      <c r="H9" s="311"/>
      <c r="I9" s="311"/>
      <c r="J9" s="311"/>
      <c r="K9" s="311"/>
      <c r="M9" s="311"/>
      <c r="N9" s="311"/>
      <c r="Q9" s="311"/>
    </row>
    <row r="10" spans="1:17" ht="18" customHeight="1" x14ac:dyDescent="0.2">
      <c r="A10" s="311"/>
      <c r="B10" s="311"/>
      <c r="C10" s="376" t="str">
        <f>IF(_Neo_AfsprD_SchedelFrequentie=0,"",_Neo_AfsprD_SchedelFrequentie)</f>
        <v/>
      </c>
      <c r="D10" s="344"/>
      <c r="G10" s="311"/>
      <c r="H10" s="311"/>
      <c r="I10" s="311"/>
      <c r="J10" s="311"/>
      <c r="K10" s="311"/>
      <c r="M10" s="311"/>
      <c r="N10" s="311"/>
      <c r="Q10" s="311"/>
    </row>
    <row r="11" spans="1:17" ht="18" customHeight="1" x14ac:dyDescent="0.2">
      <c r="G11" s="311"/>
      <c r="H11" s="311"/>
      <c r="I11" s="311"/>
      <c r="J11" s="311"/>
      <c r="K11" s="311"/>
      <c r="M11" s="311"/>
      <c r="N11" s="311"/>
    </row>
    <row r="12" spans="1:17" ht="18" customHeight="1" x14ac:dyDescent="0.2">
      <c r="C12" s="335" t="str">
        <f>CONCATENATE(NeoBerAfspr!$B$12," dd")</f>
        <v>0 dd</v>
      </c>
      <c r="D12" s="334"/>
      <c r="G12" s="311"/>
      <c r="H12" s="311"/>
      <c r="I12" s="311"/>
      <c r="J12" s="311"/>
      <c r="K12" s="311"/>
      <c r="M12" s="311"/>
    </row>
    <row r="13" spans="1:17" ht="18" customHeight="1" x14ac:dyDescent="0.2">
      <c r="G13" s="311"/>
      <c r="H13" s="311"/>
      <c r="I13" s="311"/>
      <c r="J13" s="311"/>
      <c r="K13" s="311"/>
      <c r="M13" s="311"/>
    </row>
    <row r="14" spans="1:17" ht="18" customHeight="1" x14ac:dyDescent="0.2">
      <c r="G14" s="311"/>
      <c r="H14" s="311"/>
      <c r="I14" s="311"/>
      <c r="J14" s="311"/>
      <c r="K14" s="311"/>
      <c r="M14" s="312"/>
    </row>
    <row r="15" spans="1:17" ht="18" customHeight="1" x14ac:dyDescent="0.2">
      <c r="G15" s="311"/>
      <c r="H15" s="311"/>
      <c r="I15" s="311"/>
      <c r="J15" s="311"/>
      <c r="K15" s="311"/>
      <c r="M15" s="312"/>
    </row>
    <row r="16" spans="1:17" ht="18" customHeight="1" x14ac:dyDescent="0.2">
      <c r="G16" s="311"/>
      <c r="H16" s="311"/>
      <c r="I16" s="311"/>
      <c r="J16" s="311"/>
      <c r="K16" s="311"/>
      <c r="M16" s="311"/>
    </row>
    <row r="17" spans="1:14" ht="18" customHeight="1" x14ac:dyDescent="0.2">
      <c r="G17" s="311"/>
      <c r="H17" s="311"/>
      <c r="I17" s="311"/>
      <c r="J17" s="335" t="str">
        <f>CONCATENATE(NeoBerAfspr!$K$17," dd")</f>
        <v>0 dd</v>
      </c>
      <c r="K17" s="335" t="str">
        <f>CONCATENATE(NeoBerAfspr!$L$17," ml")</f>
        <v>0 ml</v>
      </c>
      <c r="M17" s="312"/>
      <c r="N17" s="311"/>
    </row>
    <row r="18" spans="1:14" ht="18" customHeight="1" x14ac:dyDescent="0.2">
      <c r="G18" s="311"/>
      <c r="H18" s="311"/>
      <c r="I18" s="311"/>
      <c r="J18" s="334"/>
      <c r="K18" s="334"/>
      <c r="M18" s="312"/>
      <c r="N18" s="311"/>
    </row>
    <row r="19" spans="1:14" ht="18" customHeight="1" x14ac:dyDescent="0.2">
      <c r="G19" s="311"/>
      <c r="H19" s="311"/>
      <c r="I19" s="311"/>
      <c r="J19" s="335" t="str">
        <f>CONCATENATE("à ",_Neo_AfsprD_VerliezenFrequentie," uur")</f>
        <v>à 0 uur</v>
      </c>
      <c r="K19" s="311"/>
      <c r="M19" s="312"/>
      <c r="N19" s="312"/>
    </row>
    <row r="20" spans="1:14" ht="18" customHeight="1" x14ac:dyDescent="0.2">
      <c r="G20" s="311"/>
      <c r="H20" s="311"/>
      <c r="I20" s="311"/>
      <c r="J20" s="311"/>
      <c r="K20" s="311"/>
      <c r="M20" s="312"/>
      <c r="N20" s="311"/>
    </row>
    <row r="21" spans="1:14" ht="18" customHeight="1" x14ac:dyDescent="0.2">
      <c r="B21" s="1" t="s">
        <v>700</v>
      </c>
      <c r="G21" s="311"/>
      <c r="H21" s="311"/>
      <c r="I21" s="311"/>
      <c r="J21" s="311"/>
      <c r="K21" s="311"/>
      <c r="M21" s="311"/>
      <c r="N21" s="312"/>
    </row>
    <row r="22" spans="1:14" ht="18" customHeight="1" x14ac:dyDescent="0.2">
      <c r="G22" s="311"/>
      <c r="H22" s="311"/>
      <c r="I22" s="311"/>
      <c r="J22" s="311"/>
      <c r="K22" s="311"/>
      <c r="M22" s="312"/>
      <c r="N22" s="312"/>
    </row>
    <row r="23" spans="1:14" ht="18" customHeight="1" x14ac:dyDescent="0.2">
      <c r="G23" s="311"/>
      <c r="H23" s="311"/>
      <c r="I23" s="311"/>
      <c r="J23" s="311"/>
      <c r="K23" s="311"/>
      <c r="M23" s="311"/>
      <c r="N23" s="311"/>
    </row>
    <row r="24" spans="1:14" ht="18" customHeight="1" x14ac:dyDescent="0.2">
      <c r="G24" s="311"/>
      <c r="H24" s="311"/>
      <c r="I24" s="311"/>
      <c r="J24" s="311"/>
      <c r="K24" s="311"/>
      <c r="M24" s="312"/>
      <c r="N24" s="312"/>
    </row>
    <row r="25" spans="1:14" ht="18" customHeight="1" x14ac:dyDescent="0.2">
      <c r="G25" s="311"/>
      <c r="H25" s="311"/>
      <c r="I25" s="311"/>
      <c r="J25" s="311"/>
      <c r="K25" s="311"/>
      <c r="M25" s="312"/>
      <c r="N25" s="312"/>
    </row>
    <row r="26" spans="1:14" ht="18" customHeight="1" x14ac:dyDescent="0.2">
      <c r="G26" s="311"/>
      <c r="H26" s="311"/>
      <c r="I26" s="311"/>
      <c r="J26" s="311"/>
      <c r="K26" s="311"/>
      <c r="M26" s="316"/>
      <c r="N26" s="312"/>
    </row>
    <row r="27" spans="1:14" ht="18" customHeight="1" x14ac:dyDescent="0.2">
      <c r="C27" s="312" t="s">
        <v>707</v>
      </c>
      <c r="D27" s="335" t="str">
        <f>CONCATENATE(NeoBerAfspr!C27," uur")</f>
        <v>12:00 uur</v>
      </c>
      <c r="G27" s="311"/>
      <c r="H27" s="311"/>
      <c r="I27" s="311"/>
      <c r="J27" s="311"/>
      <c r="K27" s="311"/>
      <c r="M27" s="312"/>
      <c r="N27" s="312"/>
    </row>
    <row r="28" spans="1:14" ht="18" customHeight="1" x14ac:dyDescent="0.2">
      <c r="G28" s="311"/>
      <c r="H28" s="311"/>
      <c r="I28" s="311"/>
      <c r="J28" s="311"/>
      <c r="K28" s="311"/>
      <c r="M28" s="312"/>
    </row>
    <row r="29" spans="1:14" ht="18" customHeight="1" x14ac:dyDescent="0.2">
      <c r="A29" s="311"/>
      <c r="B29" s="311"/>
      <c r="C29" s="311"/>
      <c r="D29" s="311"/>
      <c r="G29" s="311"/>
      <c r="H29" s="311"/>
      <c r="I29" s="311"/>
      <c r="J29" s="311"/>
      <c r="K29" s="311"/>
      <c r="M29" s="312"/>
    </row>
    <row r="30" spans="1:14" ht="18" customHeight="1" x14ac:dyDescent="0.2">
      <c r="A30" s="311"/>
      <c r="B30" s="311"/>
      <c r="C30" s="311"/>
      <c r="D30" s="311"/>
      <c r="G30" s="311"/>
      <c r="H30" s="311"/>
      <c r="I30" s="311"/>
      <c r="J30" s="311"/>
      <c r="K30" s="311"/>
      <c r="M30" s="311"/>
    </row>
    <row r="31" spans="1:14" ht="18" customHeight="1" x14ac:dyDescent="0.2">
      <c r="B31" s="311"/>
      <c r="C31" s="311"/>
      <c r="D31" s="311"/>
      <c r="G31" s="949" t="b">
        <f>IF(_Neo_AfsprB_WondkweekTekst=0,"",_Neo_AfsprB_WondkweekTekst)</f>
        <v>0</v>
      </c>
      <c r="H31" s="949"/>
      <c r="L31" s="311"/>
      <c r="M31" s="311"/>
    </row>
    <row r="32" spans="1:14" ht="18" customHeight="1" x14ac:dyDescent="0.2">
      <c r="G32" s="949"/>
      <c r="H32" s="949"/>
      <c r="L32" s="311"/>
      <c r="M32" s="311"/>
    </row>
    <row r="33" spans="1:13" s="311" customFormat="1" ht="18" customHeight="1" x14ac:dyDescent="0.2">
      <c r="A33"/>
      <c r="B33"/>
      <c r="C33"/>
      <c r="D33"/>
      <c r="E33"/>
      <c r="G33" s="949"/>
      <c r="H33" s="949"/>
      <c r="L33"/>
    </row>
    <row r="34" spans="1:13" s="311" customFormat="1" ht="18" customHeight="1" x14ac:dyDescent="0.2">
      <c r="A34"/>
      <c r="B34" s="1" t="s">
        <v>900</v>
      </c>
      <c r="C34"/>
      <c r="D34"/>
      <c r="E34"/>
      <c r="L34"/>
    </row>
    <row r="35" spans="1:13" ht="18" customHeight="1" x14ac:dyDescent="0.2">
      <c r="L35" s="311"/>
      <c r="M35" s="312"/>
    </row>
    <row r="36" spans="1:13" ht="18" customHeight="1" x14ac:dyDescent="0.2">
      <c r="E36" s="311"/>
      <c r="I36" s="311"/>
      <c r="J36" s="311"/>
      <c r="K36" s="311"/>
      <c r="L36" s="311"/>
      <c r="M36" s="312"/>
    </row>
    <row r="37" spans="1:13" s="311" customFormat="1" ht="18" customHeight="1" x14ac:dyDescent="0.2">
      <c r="L37"/>
      <c r="M37" s="312"/>
    </row>
    <row r="38" spans="1:13" s="311" customFormat="1" ht="18" customHeight="1" x14ac:dyDescent="0.2">
      <c r="B38" s="312"/>
      <c r="C38" s="312"/>
      <c r="M38" s="312"/>
    </row>
    <row r="39" spans="1:13" ht="18" customHeight="1" x14ac:dyDescent="0.2">
      <c r="A39" s="311"/>
      <c r="B39" s="312"/>
      <c r="C39" s="312"/>
      <c r="D39" s="311"/>
      <c r="E39" s="311"/>
      <c r="L39" s="311"/>
      <c r="M39" s="312"/>
    </row>
    <row r="40" spans="1:13" s="311" customFormat="1" ht="18" customHeight="1" x14ac:dyDescent="0.2">
      <c r="B40" s="312"/>
      <c r="C40" s="312"/>
      <c r="D40"/>
      <c r="E40"/>
      <c r="I40"/>
      <c r="J40"/>
      <c r="K40"/>
      <c r="M40" s="312"/>
    </row>
    <row r="41" spans="1:13" s="311" customFormat="1" ht="18" customHeight="1" x14ac:dyDescent="0.2">
      <c r="B41" s="312"/>
      <c r="C41" s="312"/>
      <c r="D41" s="377">
        <f>NeoBerAfspr!D47</f>
        <v>0</v>
      </c>
      <c r="E41" s="311" t="s">
        <v>902</v>
      </c>
      <c r="I41"/>
      <c r="J41"/>
      <c r="K41"/>
      <c r="L41"/>
      <c r="M41" s="312"/>
    </row>
    <row r="42" spans="1:13" s="311" customFormat="1" ht="18" customHeight="1" x14ac:dyDescent="0.2">
      <c r="B42" s="312"/>
      <c r="I42"/>
      <c r="J42"/>
      <c r="K42"/>
      <c r="L42"/>
      <c r="M42" s="312"/>
    </row>
    <row r="43" spans="1:13" ht="18" customHeight="1" x14ac:dyDescent="0.2">
      <c r="A43" s="311"/>
      <c r="B43" s="312"/>
      <c r="C43" s="311"/>
      <c r="D43" s="311"/>
      <c r="E43" s="311"/>
      <c r="M43" s="312"/>
    </row>
    <row r="44" spans="1:13" ht="18" customHeight="1" x14ac:dyDescent="0.2">
      <c r="B44" s="1" t="s">
        <v>666</v>
      </c>
      <c r="M44" s="312"/>
    </row>
    <row r="45" spans="1:13" ht="18" customHeight="1" x14ac:dyDescent="0.2">
      <c r="B45" s="312" t="s">
        <v>694</v>
      </c>
      <c r="C45" s="311" t="str">
        <f>IFERROR(LEFT(Var_Neo_AfsprControles,LEN(Var_Neo_AfsprControles)-3),"")</f>
        <v/>
      </c>
      <c r="M45" s="312"/>
    </row>
    <row r="46" spans="1:13" ht="18" customHeight="1" x14ac:dyDescent="0.2">
      <c r="B46" s="312" t="s">
        <v>700</v>
      </c>
      <c r="C46" s="311" t="str">
        <f>IFERROR(LEFT(Var_Neo_AfsprOnderzoek,LEN(Var_Neo_AfsprOnderzoek)-3),"")</f>
        <v/>
      </c>
      <c r="M46" s="312"/>
    </row>
    <row r="47" spans="1:13" ht="18" customHeight="1" x14ac:dyDescent="0.2">
      <c r="B47" s="312" t="s">
        <v>900</v>
      </c>
      <c r="C47" s="311" t="str">
        <f>IFERROR(LEFT(Var_Neo_AfsprInstellingen,LEN(Var_Neo_AfsprInstellingen)-3),"")</f>
        <v/>
      </c>
      <c r="M47" s="312"/>
    </row>
    <row r="48" spans="1:13" ht="18" customHeight="1" x14ac:dyDescent="0.2">
      <c r="B48" s="312" t="s">
        <v>633</v>
      </c>
      <c r="C48" t="str">
        <f>IFERROR(LEFT(Var_Neo_AfsprKweken,LEN(Var_Neo_AfsprKweken)-3),"")</f>
        <v/>
      </c>
      <c r="M48" s="312"/>
    </row>
    <row r="49" spans="2:13" ht="18" customHeight="1" x14ac:dyDescent="0.2">
      <c r="B49" s="312" t="s">
        <v>679</v>
      </c>
      <c r="C49" s="311" t="str">
        <f>IFERROR(LEFT(Var_Neo_AfsprOverig,LEN(Var_Neo_AfsprOverig)-3),"")</f>
        <v/>
      </c>
      <c r="M49" s="312"/>
    </row>
    <row r="50" spans="2:13" ht="18" customHeight="1" x14ac:dyDescent="0.2">
      <c r="M50" s="311"/>
    </row>
    <row r="51" spans="2:13" ht="18" customHeight="1" x14ac:dyDescent="0.2">
      <c r="M51" s="312"/>
    </row>
    <row r="52" spans="2:13" ht="18" customHeight="1" x14ac:dyDescent="0.2">
      <c r="M52" s="312"/>
    </row>
    <row r="53" spans="2:13" ht="18" customHeight="1" x14ac:dyDescent="0.2">
      <c r="M53" s="312"/>
    </row>
    <row r="54" spans="2:13" ht="18" customHeight="1" x14ac:dyDescent="0.2">
      <c r="M54" s="312"/>
    </row>
    <row r="55" spans="2:13" ht="18" customHeight="1" x14ac:dyDescent="0.2">
      <c r="M55" s="312"/>
    </row>
    <row r="56" spans="2:13" ht="18" customHeight="1" x14ac:dyDescent="0.2">
      <c r="M56" s="311"/>
    </row>
    <row r="57" spans="2:13" ht="18" customHeight="1" x14ac:dyDescent="0.2">
      <c r="M57" s="311"/>
    </row>
    <row r="58" spans="2:13" ht="18" customHeight="1" x14ac:dyDescent="0.2">
      <c r="M58" s="318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17"/>
    <col min="5" max="5" width="17.85546875" customWidth="1"/>
    <col min="7" max="7" width="37.42578125" bestFit="1" customWidth="1"/>
    <col min="8" max="8" width="9.140625" style="311" customWidth="1"/>
    <col min="9" max="9" width="28" style="342" bestFit="1" customWidth="1"/>
    <col min="11" max="11" width="13.5703125" customWidth="1"/>
  </cols>
  <sheetData>
    <row r="1" spans="1:13" x14ac:dyDescent="0.2">
      <c r="A1" s="352"/>
    </row>
    <row r="6" spans="1:13" x14ac:dyDescent="0.2">
      <c r="A6" s="362" t="s">
        <v>694</v>
      </c>
      <c r="E6" s="1" t="s">
        <v>633</v>
      </c>
      <c r="I6" s="340" t="s">
        <v>679</v>
      </c>
    </row>
    <row r="7" spans="1:13" x14ac:dyDescent="0.2">
      <c r="A7" s="312" t="s">
        <v>628</v>
      </c>
      <c r="B7" s="352" t="b">
        <v>0</v>
      </c>
      <c r="E7" t="s">
        <v>635</v>
      </c>
      <c r="F7" s="352" t="b">
        <v>0</v>
      </c>
      <c r="I7" s="341" t="s">
        <v>665</v>
      </c>
      <c r="J7" s="352" t="b">
        <v>0</v>
      </c>
    </row>
    <row r="8" spans="1:13" x14ac:dyDescent="0.2">
      <c r="A8" s="312" t="s">
        <v>267</v>
      </c>
      <c r="B8" s="352" t="b">
        <v>0</v>
      </c>
      <c r="C8" s="356">
        <v>0</v>
      </c>
      <c r="D8" s="440">
        <v>1</v>
      </c>
      <c r="E8" t="s">
        <v>636</v>
      </c>
      <c r="F8" s="352" t="b">
        <v>0</v>
      </c>
      <c r="G8" t="s">
        <v>637</v>
      </c>
      <c r="H8" s="352" t="b">
        <v>0</v>
      </c>
      <c r="I8" s="341" t="s">
        <v>832</v>
      </c>
      <c r="J8" s="352" t="b">
        <v>0</v>
      </c>
      <c r="M8" s="311"/>
    </row>
    <row r="9" spans="1:13" x14ac:dyDescent="0.2">
      <c r="A9" s="312" t="s">
        <v>128</v>
      </c>
      <c r="B9" s="352" t="b">
        <v>0</v>
      </c>
      <c r="C9" s="352">
        <v>0</v>
      </c>
      <c r="D9" s="353">
        <v>1</v>
      </c>
      <c r="G9" t="s">
        <v>638</v>
      </c>
      <c r="H9" s="352" t="b">
        <v>0</v>
      </c>
      <c r="I9" s="341" t="s">
        <v>673</v>
      </c>
      <c r="J9" s="352" t="b">
        <v>0</v>
      </c>
      <c r="M9" s="311"/>
    </row>
    <row r="10" spans="1:13" x14ac:dyDescent="0.2">
      <c r="A10" s="312" t="s">
        <v>619</v>
      </c>
      <c r="B10" s="352" t="b">
        <v>0</v>
      </c>
      <c r="G10" t="s">
        <v>639</v>
      </c>
      <c r="H10" s="352" t="b">
        <v>0</v>
      </c>
      <c r="I10" s="341" t="s">
        <v>629</v>
      </c>
      <c r="J10" s="352" t="b">
        <v>0</v>
      </c>
      <c r="M10" s="311"/>
    </row>
    <row r="11" spans="1:13" x14ac:dyDescent="0.2">
      <c r="A11" s="312" t="s">
        <v>728</v>
      </c>
      <c r="B11" s="352" t="b">
        <v>0</v>
      </c>
      <c r="C11" s="312" t="s">
        <v>696</v>
      </c>
      <c r="D11" s="353" t="b">
        <v>0</v>
      </c>
      <c r="G11" t="s">
        <v>640</v>
      </c>
      <c r="H11" s="352" t="b">
        <v>0</v>
      </c>
      <c r="I11" s="341"/>
      <c r="J11" s="352" t="b">
        <v>0</v>
      </c>
      <c r="M11" s="311"/>
    </row>
    <row r="12" spans="1:13" x14ac:dyDescent="0.2">
      <c r="A12" s="312" t="s">
        <v>730</v>
      </c>
      <c r="B12" s="390">
        <v>0</v>
      </c>
      <c r="C12" s="337" t="s">
        <v>697</v>
      </c>
      <c r="D12" s="353" t="b">
        <v>0</v>
      </c>
      <c r="E12" s="312" t="s">
        <v>641</v>
      </c>
      <c r="F12" s="352" t="b">
        <v>0</v>
      </c>
      <c r="I12" s="341" t="s">
        <v>674</v>
      </c>
      <c r="J12" s="352" t="b">
        <v>0</v>
      </c>
      <c r="M12" s="311"/>
    </row>
    <row r="13" spans="1:13" x14ac:dyDescent="0.2">
      <c r="C13" s="312" t="s">
        <v>698</v>
      </c>
      <c r="D13" s="353" t="b">
        <v>0</v>
      </c>
      <c r="E13" s="312" t="s">
        <v>642</v>
      </c>
      <c r="F13" s="352" t="b">
        <v>0</v>
      </c>
      <c r="G13" t="s">
        <v>649</v>
      </c>
      <c r="H13" s="352" t="b">
        <v>0</v>
      </c>
      <c r="I13" s="341" t="s">
        <v>625</v>
      </c>
      <c r="J13" s="352" t="b">
        <v>0</v>
      </c>
      <c r="M13" s="311"/>
    </row>
    <row r="14" spans="1:13" x14ac:dyDescent="0.2">
      <c r="C14" s="312" t="s">
        <v>699</v>
      </c>
      <c r="D14" s="353" t="b">
        <v>0</v>
      </c>
      <c r="E14" s="312" t="s">
        <v>643</v>
      </c>
      <c r="F14" s="352" t="b">
        <v>0</v>
      </c>
      <c r="I14" s="341" t="s">
        <v>626</v>
      </c>
      <c r="J14" s="352" t="b">
        <v>0</v>
      </c>
      <c r="M14" s="311"/>
    </row>
    <row r="15" spans="1:13" x14ac:dyDescent="0.2">
      <c r="A15" s="312" t="s">
        <v>729</v>
      </c>
      <c r="B15" s="352" t="b">
        <v>0</v>
      </c>
      <c r="E15" s="312" t="s">
        <v>644</v>
      </c>
      <c r="F15" s="352" t="b">
        <v>0</v>
      </c>
      <c r="G15" t="s">
        <v>650</v>
      </c>
      <c r="H15" s="352" t="b">
        <v>0</v>
      </c>
      <c r="I15" s="341" t="s">
        <v>627</v>
      </c>
      <c r="J15" s="352" t="b">
        <v>0</v>
      </c>
      <c r="M15" s="311"/>
    </row>
    <row r="16" spans="1:13" x14ac:dyDescent="0.2">
      <c r="A16" t="s">
        <v>621</v>
      </c>
      <c r="B16" s="352" t="b">
        <v>0</v>
      </c>
      <c r="E16" s="311"/>
      <c r="G16" t="s">
        <v>651</v>
      </c>
      <c r="H16" s="352" t="b">
        <v>0</v>
      </c>
      <c r="I16" s="341" t="s">
        <v>678</v>
      </c>
      <c r="J16" s="352" t="b">
        <v>0</v>
      </c>
      <c r="M16" s="311"/>
    </row>
    <row r="17" spans="1:13" x14ac:dyDescent="0.2">
      <c r="A17" s="312" t="s">
        <v>620</v>
      </c>
      <c r="B17" s="352" t="b">
        <v>0</v>
      </c>
      <c r="E17" s="312" t="s">
        <v>391</v>
      </c>
      <c r="F17" s="352" t="b">
        <v>0</v>
      </c>
      <c r="I17" s="341" t="s">
        <v>833</v>
      </c>
      <c r="J17" s="352" t="b">
        <v>0</v>
      </c>
      <c r="K17" s="356">
        <v>0</v>
      </c>
      <c r="L17" s="356">
        <v>0</v>
      </c>
      <c r="M17" s="311"/>
    </row>
    <row r="18" spans="1:13" x14ac:dyDescent="0.2">
      <c r="A18" s="312" t="s">
        <v>624</v>
      </c>
      <c r="B18" s="352" t="b">
        <v>0</v>
      </c>
      <c r="C18" s="352">
        <v>0</v>
      </c>
      <c r="D18" s="353">
        <v>1</v>
      </c>
      <c r="E18" s="312" t="s">
        <v>645</v>
      </c>
      <c r="F18" s="352" t="b">
        <v>0</v>
      </c>
      <c r="G18" t="s">
        <v>652</v>
      </c>
      <c r="H18" s="352" t="b">
        <v>0</v>
      </c>
      <c r="I18" s="341" t="s">
        <v>391</v>
      </c>
      <c r="J18" s="352" t="b">
        <v>0</v>
      </c>
      <c r="M18" s="311"/>
    </row>
    <row r="19" spans="1:13" x14ac:dyDescent="0.2">
      <c r="A19" s="312" t="s">
        <v>622</v>
      </c>
      <c r="B19" s="352" t="b">
        <v>0</v>
      </c>
      <c r="E19" s="311"/>
      <c r="G19" t="s">
        <v>653</v>
      </c>
      <c r="H19" s="352" t="b">
        <v>0</v>
      </c>
      <c r="I19" s="341" t="s">
        <v>675</v>
      </c>
      <c r="J19" s="352" t="b">
        <v>0</v>
      </c>
      <c r="M19" s="311"/>
    </row>
    <row r="20" spans="1:13" x14ac:dyDescent="0.2">
      <c r="E20" s="311"/>
      <c r="G20" t="s">
        <v>654</v>
      </c>
      <c r="H20" s="352" t="b">
        <v>0</v>
      </c>
      <c r="I20" s="341" t="s">
        <v>834</v>
      </c>
      <c r="J20" s="352" t="b">
        <v>0</v>
      </c>
      <c r="K20" s="441">
        <v>0</v>
      </c>
      <c r="L20" s="356"/>
      <c r="M20" s="311"/>
    </row>
    <row r="21" spans="1:13" x14ac:dyDescent="0.2">
      <c r="A21" s="1" t="s">
        <v>700</v>
      </c>
      <c r="B21" s="352"/>
      <c r="E21" s="312" t="s">
        <v>646</v>
      </c>
      <c r="F21" s="352" t="b">
        <v>0</v>
      </c>
      <c r="I21" s="341"/>
      <c r="J21" s="311"/>
      <c r="K21" s="312" t="s">
        <v>835</v>
      </c>
      <c r="L21" s="352" t="b">
        <v>0</v>
      </c>
      <c r="M21" s="311"/>
    </row>
    <row r="22" spans="1:13" x14ac:dyDescent="0.2">
      <c r="A22" s="312" t="s">
        <v>634</v>
      </c>
      <c r="B22" s="352" t="b">
        <v>0</v>
      </c>
      <c r="C22" t="str">
        <f>IF(OR(D22=0,D22=1,D22=""),"",INDEX(tbl_Ped_aEEG,D22,1))</f>
        <v/>
      </c>
      <c r="D22" s="353">
        <v>1</v>
      </c>
      <c r="E22" s="312" t="s">
        <v>647</v>
      </c>
      <c r="F22" s="352" t="b">
        <v>0</v>
      </c>
      <c r="G22" t="s">
        <v>655</v>
      </c>
      <c r="H22" s="352" t="b">
        <v>0</v>
      </c>
      <c r="I22" s="341"/>
      <c r="J22" s="311"/>
      <c r="K22" s="312" t="s">
        <v>302</v>
      </c>
      <c r="L22" s="352" t="b">
        <v>0</v>
      </c>
      <c r="M22" s="311"/>
    </row>
    <row r="23" spans="1:13" x14ac:dyDescent="0.2">
      <c r="A23" s="312" t="s">
        <v>392</v>
      </c>
      <c r="B23" s="352" t="b">
        <v>0</v>
      </c>
      <c r="E23" s="312" t="s">
        <v>648</v>
      </c>
      <c r="F23" s="352" t="b">
        <v>0</v>
      </c>
      <c r="G23" t="s">
        <v>656</v>
      </c>
      <c r="H23" s="352" t="b">
        <v>0</v>
      </c>
      <c r="I23" s="341"/>
      <c r="J23" s="311"/>
      <c r="K23" s="312" t="s">
        <v>836</v>
      </c>
      <c r="L23" s="352" t="b">
        <v>0</v>
      </c>
      <c r="M23" s="311"/>
    </row>
    <row r="24" spans="1:13" x14ac:dyDescent="0.2">
      <c r="A24" s="312" t="s">
        <v>33</v>
      </c>
      <c r="B24" s="352" t="b">
        <v>0</v>
      </c>
      <c r="E24" s="311"/>
      <c r="G24" t="s">
        <v>657</v>
      </c>
      <c r="H24" s="352" t="b">
        <v>0</v>
      </c>
      <c r="I24" s="341" t="s">
        <v>702</v>
      </c>
      <c r="J24" s="352" t="b">
        <v>0</v>
      </c>
      <c r="K24" s="312" t="s">
        <v>703</v>
      </c>
      <c r="L24" s="352" t="b">
        <v>0</v>
      </c>
      <c r="M24" s="311"/>
    </row>
    <row r="25" spans="1:13" x14ac:dyDescent="0.2">
      <c r="A25" s="312" t="s">
        <v>671</v>
      </c>
      <c r="B25" s="352" t="b">
        <v>0</v>
      </c>
      <c r="E25" s="311"/>
      <c r="G25" t="s">
        <v>658</v>
      </c>
      <c r="H25" s="352" t="b">
        <v>0</v>
      </c>
      <c r="I25" s="341"/>
      <c r="K25" s="312" t="s">
        <v>704</v>
      </c>
      <c r="L25" s="352" t="b">
        <v>0</v>
      </c>
      <c r="M25" s="311"/>
    </row>
    <row r="26" spans="1:13" x14ac:dyDescent="0.2">
      <c r="A26" s="312" t="s">
        <v>672</v>
      </c>
      <c r="B26" s="352" t="b">
        <v>0</v>
      </c>
      <c r="E26" s="311"/>
      <c r="G26" t="s">
        <v>659</v>
      </c>
      <c r="H26" s="352" t="b">
        <v>0</v>
      </c>
      <c r="I26" s="341"/>
      <c r="K26" s="312" t="s">
        <v>705</v>
      </c>
      <c r="L26" s="352" t="b">
        <v>0</v>
      </c>
      <c r="M26" s="311"/>
    </row>
    <row r="27" spans="1:13" x14ac:dyDescent="0.2">
      <c r="A27" s="312" t="s">
        <v>393</v>
      </c>
      <c r="B27" s="352" t="b">
        <v>0</v>
      </c>
      <c r="C27" t="str">
        <f>REPLACE(INDEX(tbl_Ped_VertrekTijden,D27,2),1,1,"")</f>
        <v>12:00</v>
      </c>
      <c r="D27" s="353">
        <v>50</v>
      </c>
      <c r="E27" s="311"/>
      <c r="G27" t="s">
        <v>660</v>
      </c>
      <c r="H27" s="352" t="b">
        <v>0</v>
      </c>
      <c r="I27" s="341"/>
      <c r="K27" s="312" t="s">
        <v>706</v>
      </c>
      <c r="L27" s="352" t="b">
        <v>0</v>
      </c>
      <c r="M27" s="311"/>
    </row>
    <row r="28" spans="1:13" x14ac:dyDescent="0.2">
      <c r="A28" s="312" t="s">
        <v>731</v>
      </c>
      <c r="B28" s="352" t="b">
        <v>0</v>
      </c>
      <c r="E28" s="311"/>
      <c r="G28" t="s">
        <v>661</v>
      </c>
      <c r="H28" s="352" t="b">
        <v>0</v>
      </c>
      <c r="I28" s="341"/>
      <c r="K28" s="312" t="s">
        <v>278</v>
      </c>
      <c r="L28" s="352"/>
    </row>
    <row r="29" spans="1:13" x14ac:dyDescent="0.2">
      <c r="A29" s="312" t="s">
        <v>732</v>
      </c>
      <c r="B29" s="352" t="b">
        <v>0</v>
      </c>
      <c r="E29" s="311"/>
      <c r="G29" t="s">
        <v>662</v>
      </c>
      <c r="H29" s="352" t="b">
        <v>0</v>
      </c>
      <c r="I29" s="341" t="s">
        <v>542</v>
      </c>
      <c r="J29" s="352" t="b">
        <v>0</v>
      </c>
      <c r="K29" s="352">
        <v>0</v>
      </c>
    </row>
    <row r="30" spans="1:13" x14ac:dyDescent="0.2">
      <c r="A30" s="312" t="s">
        <v>623</v>
      </c>
      <c r="B30" s="352" t="b">
        <v>0</v>
      </c>
      <c r="E30" s="311"/>
      <c r="G30" t="s">
        <v>663</v>
      </c>
      <c r="H30" s="352" t="b">
        <v>0</v>
      </c>
      <c r="I30" s="341"/>
    </row>
    <row r="31" spans="1:13" x14ac:dyDescent="0.2">
      <c r="A31" s="312" t="s">
        <v>32</v>
      </c>
      <c r="B31" s="352" t="b">
        <v>0</v>
      </c>
      <c r="E31" s="312" t="s">
        <v>664</v>
      </c>
      <c r="F31" s="352" t="b">
        <v>0</v>
      </c>
      <c r="G31" s="356" t="b">
        <v>0</v>
      </c>
      <c r="H31" s="312"/>
      <c r="I31" s="341"/>
    </row>
    <row r="32" spans="1:13" x14ac:dyDescent="0.2">
      <c r="A32" s="312" t="s">
        <v>19</v>
      </c>
      <c r="B32" s="352" t="b">
        <v>0</v>
      </c>
      <c r="E32" s="1"/>
      <c r="I32" s="341"/>
    </row>
    <row r="33" spans="1:9" x14ac:dyDescent="0.2">
      <c r="A33" s="1" t="s">
        <v>900</v>
      </c>
      <c r="B33" s="311"/>
      <c r="C33" s="311"/>
      <c r="E33" s="311"/>
      <c r="F33" s="311"/>
      <c r="G33" s="311"/>
      <c r="I33" s="341"/>
    </row>
    <row r="34" spans="1:9" x14ac:dyDescent="0.2">
      <c r="A34" s="312" t="s">
        <v>733</v>
      </c>
      <c r="B34" s="352" t="b">
        <v>0</v>
      </c>
      <c r="C34" s="311" t="str">
        <f>IF(OR(D34=0,D34=1,D34=""),"",INDEX(tbl_Ped_DrainLokatie,D34,0))</f>
        <v/>
      </c>
      <c r="D34" s="353">
        <v>1</v>
      </c>
      <c r="E34">
        <f>IF(OR(D22=0,D22=""),"",INDEX(tbl_Ped_aEEG,D22,1))</f>
        <v>0</v>
      </c>
      <c r="I34" s="341"/>
    </row>
    <row r="35" spans="1:9" x14ac:dyDescent="0.2">
      <c r="C35" s="311" t="str">
        <f>IF(OR(D35=0,D35=1,D35=""),"",INDEX(tbl_Ped_DrainModus,D35,0))</f>
        <v/>
      </c>
      <c r="D35" s="353">
        <v>1</v>
      </c>
      <c r="I35" s="341"/>
    </row>
    <row r="36" spans="1:9" x14ac:dyDescent="0.2">
      <c r="C36" s="311" t="str">
        <f>IF(OR(D36=0,D36=1,D36=""),"",INDEX(tbl_Ped_DrainZuig,D36,0))</f>
        <v/>
      </c>
      <c r="D36" s="353">
        <v>1</v>
      </c>
      <c r="I36" s="341"/>
    </row>
    <row r="37" spans="1:9" x14ac:dyDescent="0.2">
      <c r="A37" s="312" t="s">
        <v>831</v>
      </c>
      <c r="B37" s="352" t="b">
        <v>0</v>
      </c>
      <c r="C37" s="311" t="str">
        <f>IF(OR(D37=0,D37=1,D37=""),"",INDEX(tbl_Ped_DrainLokatie,D37,0))</f>
        <v/>
      </c>
      <c r="D37" s="353">
        <v>1</v>
      </c>
      <c r="E37" s="311"/>
    </row>
    <row r="38" spans="1:9" x14ac:dyDescent="0.2">
      <c r="A38" s="311"/>
      <c r="B38" s="311"/>
      <c r="C38" s="311" t="str">
        <f>IF(OR(D38=0,D38=1,D38=""),"",INDEX(tbl_Ped_DrainModus,D38,0))</f>
        <v/>
      </c>
      <c r="D38" s="353">
        <v>1</v>
      </c>
    </row>
    <row r="39" spans="1:9" x14ac:dyDescent="0.2">
      <c r="A39" s="311"/>
      <c r="B39" s="311"/>
      <c r="C39" s="311" t="str">
        <f>IF(OR(D39=0,D39=1,D39=""),"",INDEX(tbl_Ped_DrainZuig,D39,0))</f>
        <v/>
      </c>
      <c r="D39" s="353">
        <v>1</v>
      </c>
    </row>
    <row r="40" spans="1:9" x14ac:dyDescent="0.2">
      <c r="A40" s="312" t="s">
        <v>903</v>
      </c>
      <c r="B40" s="352" t="b">
        <v>0</v>
      </c>
      <c r="C40" s="311" t="str">
        <f>IF(OR(D40=0,D40=1,D40=""),"",INDEX(tbl_Ped_DrainLokatie,D40,0))</f>
        <v/>
      </c>
      <c r="D40" s="353">
        <v>1</v>
      </c>
      <c r="E40" s="311"/>
    </row>
    <row r="41" spans="1:9" x14ac:dyDescent="0.2">
      <c r="C41" s="311" t="str">
        <f>IF(OR(D41=0,D41=1,D41=""),"",INDEX(tbl_Ped_DrainModus,D41,0))</f>
        <v/>
      </c>
      <c r="D41" s="353">
        <v>1</v>
      </c>
    </row>
    <row r="42" spans="1:9" x14ac:dyDescent="0.2">
      <c r="C42" s="311" t="str">
        <f>IF(OR(D42=0,D42=1,D42=""),"",INDEX(tbl_Ped_DrainZuig,D42,0))</f>
        <v/>
      </c>
      <c r="D42" s="353">
        <v>1</v>
      </c>
    </row>
    <row r="43" spans="1:9" x14ac:dyDescent="0.2">
      <c r="A43" s="341" t="s">
        <v>677</v>
      </c>
      <c r="B43" s="352" t="b">
        <v>0</v>
      </c>
      <c r="C43" s="312" t="s">
        <v>904</v>
      </c>
      <c r="D43" s="353" t="b">
        <v>0</v>
      </c>
      <c r="E43" s="311"/>
    </row>
    <row r="44" spans="1:9" x14ac:dyDescent="0.2">
      <c r="A44" s="312" t="s">
        <v>840</v>
      </c>
      <c r="B44" s="352" t="b">
        <v>0</v>
      </c>
      <c r="C44" s="312" t="s">
        <v>904</v>
      </c>
      <c r="D44" s="353" t="b">
        <v>0</v>
      </c>
      <c r="E44" s="311"/>
    </row>
    <row r="45" spans="1:9" x14ac:dyDescent="0.2">
      <c r="A45" s="341" t="s">
        <v>676</v>
      </c>
      <c r="B45" s="352" t="b">
        <v>0</v>
      </c>
      <c r="C45" s="312" t="s">
        <v>904</v>
      </c>
      <c r="D45" s="353" t="b">
        <v>0</v>
      </c>
      <c r="E45" s="311"/>
    </row>
    <row r="46" spans="1:9" x14ac:dyDescent="0.2">
      <c r="A46" s="312" t="s">
        <v>901</v>
      </c>
      <c r="B46" s="352" t="b">
        <v>0</v>
      </c>
      <c r="C46" t="str">
        <f>IF(OR(D46=0,D46=1,D46=""),"",INDEX(tbl_Ped_LiquorDrain,D46,0))</f>
        <v/>
      </c>
      <c r="D46" s="353">
        <v>1</v>
      </c>
      <c r="E46" s="311"/>
    </row>
    <row r="47" spans="1:9" x14ac:dyDescent="0.2">
      <c r="C47" s="311" t="s">
        <v>902</v>
      </c>
      <c r="D47" s="353">
        <v>0</v>
      </c>
    </row>
    <row r="55" spans="1:3" x14ac:dyDescent="0.2">
      <c r="A55" s="1" t="s">
        <v>666</v>
      </c>
    </row>
    <row r="56" spans="1:3" x14ac:dyDescent="0.2">
      <c r="A56" s="312" t="s">
        <v>694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12" t="s">
        <v>700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12" t="s">
        <v>900</v>
      </c>
      <c r="B58" s="31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11"/>
    </row>
    <row r="59" spans="1:3" x14ac:dyDescent="0.2">
      <c r="A59" s="312" t="s">
        <v>633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12" t="s">
        <v>679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12"/>
    </row>
    <row r="69" spans="1:1" x14ac:dyDescent="0.2">
      <c r="A69" s="312"/>
    </row>
    <row r="70" spans="1:1" x14ac:dyDescent="0.2">
      <c r="A70" s="311"/>
    </row>
    <row r="71" spans="1:1" x14ac:dyDescent="0.2">
      <c r="A71" s="312"/>
    </row>
    <row r="72" spans="1:1" x14ac:dyDescent="0.2">
      <c r="A72" s="312"/>
    </row>
    <row r="73" spans="1:1" x14ac:dyDescent="0.2">
      <c r="A73" s="312"/>
    </row>
    <row r="74" spans="1:1" x14ac:dyDescent="0.2">
      <c r="A74" s="312"/>
    </row>
    <row r="75" spans="1:1" x14ac:dyDescent="0.2">
      <c r="A75" s="312"/>
    </row>
    <row r="76" spans="1:1" x14ac:dyDescent="0.2">
      <c r="A76" s="312"/>
    </row>
    <row r="77" spans="1:1" x14ac:dyDescent="0.2">
      <c r="A77" s="312"/>
    </row>
    <row r="78" spans="1:1" x14ac:dyDescent="0.2">
      <c r="A78" s="312"/>
    </row>
    <row r="79" spans="1:1" x14ac:dyDescent="0.2">
      <c r="A79" s="312"/>
    </row>
    <row r="80" spans="1:1" x14ac:dyDescent="0.2">
      <c r="A80" s="312"/>
    </row>
    <row r="81" spans="1:1" x14ac:dyDescent="0.2">
      <c r="A81" s="312"/>
    </row>
    <row r="82" spans="1:1" x14ac:dyDescent="0.2">
      <c r="A82" s="312"/>
    </row>
    <row r="83" spans="1:1" x14ac:dyDescent="0.2">
      <c r="A83" s="311"/>
    </row>
    <row r="84" spans="1:1" x14ac:dyDescent="0.2">
      <c r="A84" s="312"/>
    </row>
    <row r="85" spans="1:1" x14ac:dyDescent="0.2">
      <c r="A85" s="312"/>
    </row>
    <row r="86" spans="1:1" x14ac:dyDescent="0.2">
      <c r="A86" s="316"/>
    </row>
    <row r="87" spans="1:1" x14ac:dyDescent="0.2">
      <c r="A87" s="312"/>
    </row>
    <row r="88" spans="1:1" x14ac:dyDescent="0.2">
      <c r="A88" s="312"/>
    </row>
    <row r="89" spans="1:1" x14ac:dyDescent="0.2">
      <c r="A89" s="312"/>
    </row>
    <row r="90" spans="1:1" x14ac:dyDescent="0.2">
      <c r="A90" s="312"/>
    </row>
    <row r="91" spans="1:1" x14ac:dyDescent="0.2">
      <c r="A91" s="312"/>
    </row>
    <row r="92" spans="1:1" x14ac:dyDescent="0.2">
      <c r="A92" s="312"/>
    </row>
    <row r="93" spans="1:1" x14ac:dyDescent="0.2">
      <c r="A93" s="312"/>
    </row>
    <row r="94" spans="1:1" x14ac:dyDescent="0.2">
      <c r="A94" s="312"/>
    </row>
    <row r="95" spans="1:1" x14ac:dyDescent="0.2">
      <c r="A95" s="312"/>
    </row>
    <row r="96" spans="1:1" x14ac:dyDescent="0.2">
      <c r="A96" s="312"/>
    </row>
    <row r="97" spans="1:1" x14ac:dyDescent="0.2">
      <c r="A97" s="312"/>
    </row>
    <row r="98" spans="1:1" x14ac:dyDescent="0.2">
      <c r="A98" s="312"/>
    </row>
    <row r="99" spans="1:1" x14ac:dyDescent="0.2">
      <c r="A99" s="312"/>
    </row>
    <row r="100" spans="1:1" x14ac:dyDescent="0.2">
      <c r="A100" s="312"/>
    </row>
    <row r="101" spans="1:1" x14ac:dyDescent="0.2">
      <c r="A101" s="312"/>
    </row>
    <row r="102" spans="1:1" x14ac:dyDescent="0.2">
      <c r="A102" s="312"/>
    </row>
    <row r="103" spans="1:1" x14ac:dyDescent="0.2">
      <c r="A103" s="312"/>
    </row>
    <row r="104" spans="1:1" x14ac:dyDescent="0.2">
      <c r="A104" s="312"/>
    </row>
    <row r="105" spans="1:1" x14ac:dyDescent="0.2">
      <c r="A105" s="312"/>
    </row>
    <row r="106" spans="1:1" x14ac:dyDescent="0.2">
      <c r="A106" s="312"/>
    </row>
    <row r="107" spans="1:1" x14ac:dyDescent="0.2">
      <c r="A107" s="311"/>
    </row>
    <row r="108" spans="1:1" x14ac:dyDescent="0.2">
      <c r="A108" s="31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25" customWidth="1"/>
    <col min="2" max="13" width="10.7109375" style="325" customWidth="1"/>
    <col min="14" max="15" width="2.140625" style="325" customWidth="1"/>
    <col min="16" max="21" width="10.7109375" style="325" customWidth="1"/>
    <col min="22" max="16384" width="9.140625" style="325"/>
  </cols>
  <sheetData>
    <row r="1" spans="1:82" s="137" customFormat="1" ht="7.5" customHeight="1" x14ac:dyDescent="0.2">
      <c r="A1" s="359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N1" s="136"/>
      <c r="S1" s="136"/>
      <c r="T1" s="136"/>
      <c r="U1" s="136"/>
      <c r="V1" s="136"/>
      <c r="W1" s="136"/>
      <c r="X1" s="136"/>
      <c r="Y1" s="136"/>
    </row>
    <row r="2" spans="1:82" s="137" customFormat="1" ht="17.25" customHeight="1" x14ac:dyDescent="0.2">
      <c r="A2" s="136"/>
      <c r="B2" s="136"/>
      <c r="C2" s="138" t="s">
        <v>297</v>
      </c>
      <c r="D2" s="139">
        <f ca="1">Var_AfspraakDatum</f>
        <v>42751</v>
      </c>
      <c r="E2" s="140"/>
      <c r="F2" s="138" t="s">
        <v>298</v>
      </c>
      <c r="G2" s="136"/>
      <c r="H2" s="141">
        <f>_Pat_OpnDatum</f>
        <v>1462</v>
      </c>
      <c r="I2" s="138" t="str">
        <f ca="1">"ICU-dag: "&amp;Var_AfspraakDatum-_Pat_OpnDatum+1</f>
        <v>ICU-dag: 41290</v>
      </c>
      <c r="J2" s="144" t="str">
        <f>"Gewicht: "&amp;_Pat_Gewicht/10&amp;" kg"</f>
        <v>Gewicht: 0 kg</v>
      </c>
      <c r="L2" s="136"/>
      <c r="N2" s="136"/>
      <c r="S2" s="136"/>
      <c r="T2" s="136"/>
      <c r="U2" s="136"/>
      <c r="V2" s="136"/>
      <c r="W2" s="136"/>
      <c r="X2" s="136"/>
      <c r="Y2" s="136"/>
    </row>
    <row r="3" spans="1:82" s="137" customFormat="1" ht="17.25" customHeight="1" x14ac:dyDescent="0.2">
      <c r="A3" s="136"/>
      <c r="B3" s="142"/>
      <c r="C3" s="138" t="s">
        <v>28</v>
      </c>
      <c r="D3" s="143" t="str">
        <f>__2_AchterNaam&amp;", "&amp;__3_VoorNaam</f>
        <v xml:space="preserve">, </v>
      </c>
      <c r="E3" s="143"/>
      <c r="F3" s="138" t="s">
        <v>305</v>
      </c>
      <c r="G3" s="136"/>
      <c r="H3" s="141">
        <f>__4_GebDatum</f>
        <v>1462</v>
      </c>
      <c r="J3" s="144" t="str">
        <f>"Lengte: "&amp;_Pat_Lengte&amp;" cm"</f>
        <v>Lengte: 0 cm</v>
      </c>
      <c r="K3" s="138"/>
      <c r="L3" s="136"/>
      <c r="N3" s="310"/>
      <c r="S3" s="136"/>
      <c r="T3" s="136"/>
      <c r="U3" s="136"/>
      <c r="V3" s="136"/>
      <c r="W3" s="136"/>
      <c r="X3" s="136"/>
      <c r="Y3" s="136"/>
    </row>
    <row r="4" spans="1:82" s="137" customFormat="1" ht="17.25" customHeight="1" x14ac:dyDescent="0.2">
      <c r="A4" s="145"/>
      <c r="B4" s="145"/>
      <c r="C4" s="138" t="s">
        <v>338</v>
      </c>
      <c r="D4" s="144">
        <f>__0_PatNum</f>
        <v>0</v>
      </c>
      <c r="E4" s="140"/>
      <c r="F4" s="138" t="s">
        <v>268</v>
      </c>
      <c r="G4" s="145"/>
      <c r="H4" s="146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138"/>
      <c r="J4" s="138" t="str">
        <f>"Lichamelijk oppervlak: "&amp;ROUND(POWER(_Pat_Gewicht/10,0.425)*POWER(((_Pat_Lengte/100)*100),0.725)*0.007184,2)&amp;" m2"</f>
        <v>Lichamelijk oppervlak: 0 m2</v>
      </c>
      <c r="K4" s="138"/>
      <c r="L4" s="145"/>
      <c r="N4" s="145"/>
      <c r="S4" s="145"/>
      <c r="T4" s="145"/>
      <c r="U4" s="145"/>
      <c r="V4" s="145"/>
      <c r="W4" s="145"/>
      <c r="X4" s="145"/>
      <c r="Y4" s="145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</row>
    <row r="5" spans="1:82" s="137" customFormat="1" ht="17.25" customHeight="1" x14ac:dyDescent="0.2">
      <c r="A5" s="145"/>
      <c r="B5" s="145"/>
      <c r="C5" s="152" t="s">
        <v>490</v>
      </c>
      <c r="D5" s="152">
        <f>__1_Bed</f>
        <v>0</v>
      </c>
      <c r="E5" s="140"/>
      <c r="F5" s="138"/>
      <c r="G5" s="145"/>
      <c r="H5" s="146"/>
      <c r="I5" s="138"/>
      <c r="J5" s="138"/>
      <c r="K5" s="138"/>
      <c r="L5" s="145"/>
      <c r="N5" s="145"/>
      <c r="S5" s="145"/>
      <c r="T5" s="145"/>
      <c r="U5" s="145"/>
      <c r="V5" s="145"/>
      <c r="W5" s="145"/>
      <c r="X5" s="145"/>
      <c r="Y5" s="145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</row>
    <row r="6" spans="1:82" s="456" customFormat="1" x14ac:dyDescent="0.2">
      <c r="A6" s="457"/>
      <c r="B6" s="326"/>
    </row>
    <row r="7" spans="1:82" s="456" customFormat="1" x14ac:dyDescent="0.2">
      <c r="A7" s="457"/>
      <c r="B7" s="326"/>
    </row>
    <row r="8" spans="1:82" ht="11.25" customHeight="1" x14ac:dyDescent="0.2">
      <c r="A8" s="363"/>
      <c r="B8" s="321" t="s">
        <v>145</v>
      </c>
      <c r="C8" s="322"/>
      <c r="D8" s="323" t="s">
        <v>684</v>
      </c>
      <c r="E8" s="322"/>
      <c r="F8" s="322"/>
      <c r="G8" s="320"/>
      <c r="H8" s="324"/>
      <c r="I8" s="320"/>
      <c r="J8" s="320"/>
      <c r="K8" s="320"/>
      <c r="L8" s="320"/>
      <c r="M8" s="320"/>
      <c r="N8" s="320"/>
    </row>
    <row r="9" spans="1:82" x14ac:dyDescent="0.2">
      <c r="A9" s="320"/>
      <c r="B9" s="326"/>
    </row>
    <row r="10" spans="1:82" ht="18.75" customHeight="1" x14ac:dyDescent="0.2">
      <c r="A10" s="320"/>
      <c r="B10" s="264" t="s">
        <v>682</v>
      </c>
      <c r="C10" s="327"/>
      <c r="D10" s="264" t="s">
        <v>685</v>
      </c>
      <c r="E10" s="327"/>
      <c r="F10" s="264" t="s">
        <v>686</v>
      </c>
      <c r="G10" s="327"/>
      <c r="H10" s="264" t="s">
        <v>687</v>
      </c>
      <c r="I10" s="327"/>
      <c r="J10" s="264" t="s">
        <v>146</v>
      </c>
      <c r="K10" s="327"/>
      <c r="L10" s="264" t="s">
        <v>688</v>
      </c>
      <c r="M10" s="327"/>
      <c r="N10" s="264"/>
      <c r="O10" s="327"/>
      <c r="P10" s="264" t="s">
        <v>996</v>
      </c>
      <c r="Q10" s="264" t="s">
        <v>692</v>
      </c>
      <c r="R10" s="264" t="s">
        <v>995</v>
      </c>
      <c r="S10" s="264" t="s">
        <v>692</v>
      </c>
      <c r="T10" s="264" t="s">
        <v>997</v>
      </c>
      <c r="U10" s="264" t="s">
        <v>692</v>
      </c>
    </row>
    <row r="11" spans="1:82" ht="26.25" customHeight="1" x14ac:dyDescent="0.2">
      <c r="B11" s="328"/>
      <c r="C11" s="329"/>
      <c r="D11" s="328"/>
      <c r="E11" s="328"/>
      <c r="F11" s="328"/>
      <c r="G11" s="328"/>
      <c r="H11" s="328"/>
      <c r="I11" s="328"/>
      <c r="J11" s="328"/>
      <c r="K11" s="328"/>
      <c r="L11" s="328"/>
      <c r="M11" s="328"/>
      <c r="N11" s="328"/>
      <c r="O11" s="328"/>
      <c r="P11" s="328"/>
      <c r="Q11" s="328"/>
      <c r="R11" s="328"/>
      <c r="S11" s="328"/>
      <c r="T11" s="328"/>
      <c r="U11" s="328"/>
    </row>
    <row r="12" spans="1:82" ht="26.25" customHeight="1" x14ac:dyDescent="0.2">
      <c r="B12" s="328"/>
      <c r="C12" s="329"/>
      <c r="D12" s="328"/>
      <c r="E12" s="328"/>
      <c r="F12" s="328"/>
      <c r="G12" s="328"/>
      <c r="H12" s="328"/>
      <c r="I12" s="328"/>
      <c r="J12" s="328"/>
      <c r="K12" s="328"/>
      <c r="L12" s="328"/>
      <c r="M12" s="328"/>
      <c r="N12" s="328"/>
      <c r="O12" s="328"/>
      <c r="P12" s="328"/>
      <c r="Q12" s="328"/>
      <c r="R12" s="328"/>
      <c r="S12" s="328"/>
      <c r="T12" s="328"/>
      <c r="U12" s="328"/>
    </row>
    <row r="13" spans="1:82" ht="26.25" customHeight="1" x14ac:dyDescent="0.2">
      <c r="A13" s="369"/>
      <c r="B13" s="328"/>
      <c r="C13" s="329"/>
      <c r="D13" s="328"/>
      <c r="E13" s="328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8"/>
      <c r="Q13" s="328"/>
      <c r="R13" s="328"/>
      <c r="S13" s="328"/>
      <c r="T13" s="328"/>
      <c r="U13" s="328"/>
    </row>
    <row r="14" spans="1:82" ht="26.25" customHeight="1" x14ac:dyDescent="0.2">
      <c r="B14" s="328"/>
      <c r="C14" s="329"/>
      <c r="D14" s="328"/>
      <c r="E14" s="328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8"/>
      <c r="Q14" s="328"/>
      <c r="R14" s="328"/>
      <c r="S14" s="328"/>
      <c r="T14" s="328"/>
      <c r="U14" s="328"/>
    </row>
    <row r="15" spans="1:82" ht="26.25" customHeight="1" x14ac:dyDescent="0.2">
      <c r="B15" s="328"/>
      <c r="C15" s="329"/>
      <c r="D15" s="328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  <c r="R15" s="328"/>
      <c r="S15" s="328"/>
      <c r="T15" s="328"/>
      <c r="U15" s="328"/>
    </row>
    <row r="16" spans="1:82" ht="26.25" customHeight="1" x14ac:dyDescent="0.2">
      <c r="B16" s="328"/>
      <c r="C16" s="329"/>
      <c r="D16" s="328"/>
      <c r="E16" s="328"/>
      <c r="F16" s="328"/>
      <c r="G16" s="328"/>
      <c r="H16" s="328"/>
      <c r="I16" s="328"/>
      <c r="J16" s="328"/>
      <c r="K16" s="328"/>
      <c r="L16" s="328"/>
      <c r="M16" s="328"/>
      <c r="N16" s="328"/>
      <c r="O16" s="328"/>
      <c r="P16" s="328"/>
      <c r="Q16" s="328"/>
      <c r="R16" s="328"/>
      <c r="S16" s="328"/>
      <c r="T16" s="328"/>
      <c r="U16" s="328"/>
    </row>
    <row r="17" spans="2:21" ht="26.25" customHeight="1" x14ac:dyDescent="0.2">
      <c r="B17" s="328"/>
      <c r="C17" s="329"/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</row>
    <row r="18" spans="2:21" ht="26.25" customHeight="1" x14ac:dyDescent="0.2">
      <c r="B18" s="328"/>
      <c r="C18" s="329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  <c r="R18" s="328"/>
      <c r="S18" s="328"/>
      <c r="T18" s="328"/>
      <c r="U18" s="328"/>
    </row>
    <row r="19" spans="2:21" ht="26.25" customHeight="1" x14ac:dyDescent="0.2">
      <c r="B19" s="328"/>
      <c r="C19" s="329"/>
      <c r="D19" s="328"/>
      <c r="E19" s="328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8"/>
      <c r="R19" s="328"/>
      <c r="S19" s="328"/>
      <c r="T19" s="328"/>
      <c r="U19" s="328"/>
    </row>
    <row r="20" spans="2:21" ht="26.25" customHeight="1" x14ac:dyDescent="0.2">
      <c r="B20" s="328"/>
      <c r="C20" s="329"/>
      <c r="D20" s="328"/>
      <c r="E20" s="328"/>
      <c r="F20" s="328"/>
      <c r="G20" s="328"/>
      <c r="H20" s="328"/>
      <c r="I20" s="328"/>
      <c r="J20" s="328"/>
      <c r="K20" s="328"/>
      <c r="L20" s="328"/>
      <c r="M20" s="328"/>
      <c r="N20" s="328"/>
      <c r="O20" s="328"/>
      <c r="P20" s="328"/>
      <c r="Q20" s="328"/>
      <c r="R20" s="328"/>
      <c r="S20" s="328"/>
      <c r="T20" s="328"/>
      <c r="U20" s="328"/>
    </row>
    <row r="21" spans="2:21" ht="26.25" customHeight="1" x14ac:dyDescent="0.2">
      <c r="B21" s="328"/>
      <c r="C21" s="329"/>
      <c r="D21" s="328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  <c r="R21" s="328"/>
      <c r="S21" s="328"/>
      <c r="T21" s="328"/>
      <c r="U21" s="328"/>
    </row>
    <row r="22" spans="2:21" ht="26.25" customHeight="1" x14ac:dyDescent="0.2">
      <c r="B22" s="328"/>
      <c r="C22" s="329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2:21" ht="26.25" customHeight="1" x14ac:dyDescent="0.2">
      <c r="B23" s="328"/>
      <c r="C23" s="329"/>
      <c r="D23" s="328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  <c r="R23" s="328"/>
      <c r="S23" s="328"/>
      <c r="T23" s="328"/>
      <c r="U23" s="328"/>
    </row>
    <row r="24" spans="2:21" ht="26.25" customHeight="1" x14ac:dyDescent="0.2">
      <c r="B24" s="328"/>
      <c r="C24" s="329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  <c r="R24" s="328"/>
      <c r="S24" s="328"/>
      <c r="T24" s="328"/>
      <c r="U24" s="328"/>
    </row>
    <row r="25" spans="2:21" ht="26.25" customHeight="1" x14ac:dyDescent="0.2">
      <c r="B25" s="328"/>
      <c r="C25" s="329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  <c r="R25" s="328"/>
      <c r="S25" s="328"/>
      <c r="T25" s="328"/>
      <c r="U25" s="328"/>
    </row>
    <row r="26" spans="2:21" ht="26.25" customHeight="1" x14ac:dyDescent="0.2">
      <c r="B26" s="328"/>
      <c r="C26" s="329"/>
      <c r="D26" s="328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  <c r="R26" s="328"/>
      <c r="S26" s="328"/>
      <c r="T26" s="328"/>
      <c r="U26" s="328"/>
    </row>
    <row r="27" spans="2:21" ht="26.25" customHeight="1" x14ac:dyDescent="0.2">
      <c r="B27" s="328"/>
      <c r="C27" s="329"/>
      <c r="D27" s="328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  <c r="R27" s="328"/>
      <c r="S27" s="328"/>
      <c r="T27" s="328"/>
      <c r="U27" s="328"/>
    </row>
    <row r="28" spans="2:21" ht="26.25" customHeight="1" x14ac:dyDescent="0.2">
      <c r="B28" s="328"/>
      <c r="C28" s="329"/>
      <c r="D28" s="328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  <c r="R28" s="328"/>
      <c r="S28" s="328"/>
      <c r="T28" s="328"/>
      <c r="U28" s="328"/>
    </row>
    <row r="29" spans="2:21" ht="26.25" customHeight="1" x14ac:dyDescent="0.2">
      <c r="B29" s="328"/>
      <c r="C29" s="329"/>
      <c r="D29" s="328"/>
      <c r="E29" s="328"/>
      <c r="F29" s="328"/>
      <c r="G29" s="328"/>
      <c r="H29" s="328"/>
      <c r="I29" s="328"/>
      <c r="J29" s="328"/>
      <c r="K29" s="328"/>
      <c r="L29" s="328"/>
      <c r="M29" s="328"/>
      <c r="N29" s="328"/>
      <c r="O29" s="328"/>
      <c r="P29" s="328"/>
      <c r="Q29" s="328"/>
      <c r="R29" s="328"/>
      <c r="S29" s="328"/>
      <c r="T29" s="328"/>
      <c r="U29" s="328"/>
    </row>
    <row r="30" spans="2:21" ht="26.25" customHeight="1" x14ac:dyDescent="0.2">
      <c r="B30" s="328"/>
      <c r="C30" s="329"/>
      <c r="D30" s="328"/>
      <c r="E30" s="328"/>
      <c r="F30" s="328"/>
      <c r="G30" s="328"/>
      <c r="H30" s="328"/>
      <c r="I30" s="328"/>
      <c r="J30" s="328"/>
      <c r="K30" s="328"/>
      <c r="L30" s="328"/>
      <c r="M30" s="328"/>
      <c r="N30" s="328"/>
      <c r="O30" s="328"/>
      <c r="P30" s="328"/>
      <c r="Q30" s="328"/>
      <c r="R30" s="328"/>
      <c r="S30" s="328"/>
      <c r="T30" s="328"/>
      <c r="U30" s="328"/>
    </row>
    <row r="31" spans="2:21" ht="26.25" customHeight="1" x14ac:dyDescent="0.2">
      <c r="B31" s="328"/>
      <c r="C31" s="329"/>
      <c r="D31" s="328"/>
      <c r="E31" s="328"/>
      <c r="F31" s="328"/>
      <c r="G31" s="328"/>
      <c r="H31" s="328"/>
      <c r="I31" s="328"/>
      <c r="J31" s="328"/>
      <c r="K31" s="328"/>
      <c r="L31" s="328"/>
      <c r="M31" s="328"/>
      <c r="N31" s="328"/>
      <c r="O31" s="328"/>
      <c r="P31" s="328"/>
      <c r="Q31" s="328"/>
      <c r="R31" s="328"/>
      <c r="S31" s="328"/>
      <c r="T31" s="328"/>
      <c r="U31" s="328"/>
    </row>
    <row r="32" spans="2:21" ht="26.25" customHeight="1" x14ac:dyDescent="0.2">
      <c r="B32" s="328"/>
      <c r="C32" s="329"/>
      <c r="D32" s="328"/>
      <c r="E32" s="328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8"/>
      <c r="R32" s="328"/>
      <c r="S32" s="328"/>
      <c r="T32" s="328"/>
      <c r="U32" s="328"/>
    </row>
    <row r="33" spans="2:21" ht="26.25" customHeight="1" x14ac:dyDescent="0.2">
      <c r="B33" s="328"/>
      <c r="C33" s="329"/>
      <c r="D33" s="328"/>
      <c r="E33" s="328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8"/>
      <c r="R33" s="328"/>
      <c r="S33" s="328"/>
      <c r="T33" s="328"/>
      <c r="U33" s="328"/>
    </row>
    <row r="34" spans="2:21" ht="26.25" customHeight="1" x14ac:dyDescent="0.2">
      <c r="B34" s="328"/>
      <c r="C34" s="329"/>
      <c r="D34" s="328"/>
      <c r="E34" s="328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8"/>
      <c r="R34" s="328"/>
      <c r="S34" s="328"/>
      <c r="T34" s="328"/>
      <c r="U34" s="328"/>
    </row>
    <row r="35" spans="2:21" ht="26.25" customHeight="1" x14ac:dyDescent="0.2">
      <c r="B35" s="328"/>
      <c r="C35" s="329"/>
      <c r="D35" s="328"/>
      <c r="E35" s="328"/>
      <c r="F35" s="328"/>
      <c r="G35" s="328"/>
      <c r="H35" s="328"/>
      <c r="I35" s="328"/>
      <c r="J35" s="328"/>
      <c r="K35" s="328"/>
      <c r="L35" s="328"/>
      <c r="M35" s="328"/>
      <c r="N35" s="328"/>
      <c r="O35" s="328"/>
      <c r="P35" s="328"/>
      <c r="Q35" s="328"/>
      <c r="R35" s="328"/>
      <c r="S35" s="328"/>
      <c r="T35" s="328"/>
      <c r="U35" s="328"/>
    </row>
    <row r="36" spans="2:21" ht="26.25" customHeight="1" x14ac:dyDescent="0.2">
      <c r="B36" s="328"/>
      <c r="C36" s="329"/>
      <c r="D36" s="328"/>
      <c r="E36" s="328"/>
      <c r="F36" s="328"/>
      <c r="G36" s="328"/>
      <c r="H36" s="328"/>
      <c r="I36" s="328"/>
      <c r="J36" s="328"/>
      <c r="K36" s="328"/>
      <c r="L36" s="328"/>
      <c r="M36" s="328"/>
      <c r="N36" s="328"/>
      <c r="O36" s="328"/>
      <c r="P36" s="328"/>
      <c r="Q36" s="328"/>
      <c r="R36" s="328"/>
      <c r="S36" s="328"/>
      <c r="T36" s="328"/>
      <c r="U36" s="328"/>
    </row>
    <row r="37" spans="2:21" ht="26.25" customHeight="1" x14ac:dyDescent="0.2">
      <c r="B37" s="328"/>
      <c r="C37" s="329"/>
      <c r="D37" s="328"/>
      <c r="E37" s="328"/>
      <c r="F37" s="328"/>
      <c r="G37" s="328"/>
      <c r="H37" s="328"/>
      <c r="I37" s="328"/>
      <c r="J37" s="328"/>
      <c r="K37" s="328"/>
      <c r="L37" s="328"/>
      <c r="M37" s="328"/>
      <c r="N37" s="328"/>
      <c r="O37" s="328"/>
      <c r="P37" s="328"/>
      <c r="Q37" s="328"/>
      <c r="R37" s="328"/>
      <c r="S37" s="328"/>
      <c r="T37" s="328"/>
      <c r="U37" s="328"/>
    </row>
    <row r="38" spans="2:21" ht="26.25" customHeight="1" x14ac:dyDescent="0.2">
      <c r="B38" s="328"/>
      <c r="C38" s="329"/>
      <c r="D38" s="328"/>
      <c r="E38" s="328"/>
      <c r="F38" s="328"/>
      <c r="G38" s="328"/>
      <c r="H38" s="328"/>
      <c r="I38" s="328"/>
      <c r="J38" s="328"/>
      <c r="K38" s="328"/>
      <c r="L38" s="328"/>
      <c r="M38" s="328"/>
      <c r="N38" s="328"/>
      <c r="O38" s="328"/>
      <c r="P38" s="328"/>
      <c r="Q38" s="328"/>
      <c r="R38" s="328"/>
      <c r="S38" s="328"/>
      <c r="T38" s="328"/>
      <c r="U38" s="328"/>
    </row>
    <row r="39" spans="2:21" ht="26.25" customHeight="1" x14ac:dyDescent="0.2">
      <c r="B39" s="328"/>
      <c r="C39" s="329"/>
      <c r="D39" s="328"/>
      <c r="E39" s="328"/>
      <c r="F39" s="328"/>
      <c r="G39" s="328"/>
      <c r="H39" s="328"/>
      <c r="I39" s="328"/>
      <c r="J39" s="328"/>
      <c r="K39" s="328"/>
      <c r="L39" s="328"/>
      <c r="M39" s="328"/>
      <c r="N39" s="328"/>
      <c r="O39" s="328"/>
      <c r="P39" s="328"/>
      <c r="Q39" s="328"/>
      <c r="R39" s="328"/>
      <c r="S39" s="328"/>
      <c r="T39" s="328"/>
      <c r="U39" s="328"/>
    </row>
    <row r="40" spans="2:21" ht="26.25" customHeight="1" x14ac:dyDescent="0.2">
      <c r="B40" s="328"/>
      <c r="C40" s="329"/>
      <c r="D40" s="328"/>
      <c r="E40" s="328"/>
      <c r="F40" s="328"/>
      <c r="G40" s="328"/>
      <c r="H40" s="328"/>
      <c r="I40" s="328"/>
      <c r="J40" s="328"/>
      <c r="K40" s="328"/>
      <c r="L40" s="328"/>
      <c r="M40" s="328"/>
      <c r="N40" s="328"/>
      <c r="O40" s="328"/>
      <c r="P40" s="328"/>
      <c r="Q40" s="328"/>
      <c r="R40" s="328"/>
      <c r="S40" s="328"/>
      <c r="T40" s="328"/>
      <c r="U40" s="328"/>
    </row>
    <row r="41" spans="2:21" ht="26.25" customHeight="1" x14ac:dyDescent="0.2">
      <c r="B41" s="328"/>
      <c r="C41" s="329"/>
      <c r="D41" s="328"/>
      <c r="E41" s="328"/>
      <c r="F41" s="328"/>
      <c r="G41" s="328"/>
      <c r="H41" s="328"/>
      <c r="I41" s="328"/>
      <c r="J41" s="328"/>
      <c r="K41" s="328"/>
      <c r="L41" s="328"/>
      <c r="M41" s="328"/>
      <c r="N41" s="328"/>
      <c r="O41" s="328"/>
      <c r="P41" s="328"/>
      <c r="Q41" s="328"/>
      <c r="R41" s="328"/>
      <c r="S41" s="328"/>
      <c r="T41" s="328"/>
      <c r="U41" s="328"/>
    </row>
    <row r="42" spans="2:21" ht="26.25" customHeight="1" x14ac:dyDescent="0.2">
      <c r="B42" s="328"/>
      <c r="C42" s="329"/>
      <c r="D42" s="328"/>
      <c r="E42" s="328"/>
      <c r="F42" s="328"/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8"/>
      <c r="R42" s="328"/>
      <c r="S42" s="328"/>
      <c r="T42" s="328"/>
      <c r="U42" s="328"/>
    </row>
    <row r="43" spans="2:21" x14ac:dyDescent="0.2">
      <c r="B43" s="330" t="s">
        <v>285</v>
      </c>
      <c r="C43" s="325" t="str">
        <f>IF(_Neo_Lab_Opm=0,"",_Neo_Lab_Opm)</f>
        <v/>
      </c>
    </row>
  </sheetData>
  <sheetProtection password="CC2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54"/>
  </cols>
  <sheetData>
    <row r="1" spans="1:21" x14ac:dyDescent="0.2">
      <c r="A1" s="364"/>
      <c r="D1" s="170"/>
      <c r="F1" s="170"/>
      <c r="H1" s="170"/>
      <c r="J1" s="170"/>
      <c r="L1" s="170"/>
      <c r="N1" s="170"/>
      <c r="P1" s="170"/>
      <c r="R1" s="170"/>
    </row>
    <row r="2" spans="1:21" x14ac:dyDescent="0.2">
      <c r="A2" s="170"/>
      <c r="D2" s="170"/>
      <c r="F2" s="170"/>
      <c r="H2" s="170"/>
      <c r="L2" s="170"/>
    </row>
    <row r="3" spans="1:21" x14ac:dyDescent="0.2">
      <c r="A3" s="170" t="s">
        <v>681</v>
      </c>
      <c r="B3" s="154" t="s">
        <v>682</v>
      </c>
      <c r="D3" s="154" t="s">
        <v>685</v>
      </c>
      <c r="F3" s="154" t="s">
        <v>686</v>
      </c>
      <c r="H3" s="154" t="s">
        <v>687</v>
      </c>
      <c r="J3" s="154" t="s">
        <v>146</v>
      </c>
      <c r="L3" s="170" t="s">
        <v>688</v>
      </c>
      <c r="N3" s="154" t="s">
        <v>689</v>
      </c>
      <c r="P3" s="154" t="s">
        <v>690</v>
      </c>
      <c r="R3" s="154" t="s">
        <v>691</v>
      </c>
    </row>
    <row r="4" spans="1:21" x14ac:dyDescent="0.2">
      <c r="B4" s="154" t="str">
        <f>IF(C4,"A","")</f>
        <v/>
      </c>
      <c r="C4" s="479" t="b">
        <v>0</v>
      </c>
      <c r="D4" s="154" t="str">
        <f>IF(E4,"A","")</f>
        <v/>
      </c>
      <c r="E4" s="479" t="b">
        <v>0</v>
      </c>
      <c r="F4" s="154" t="str">
        <f>IF(G4,"A","")</f>
        <v/>
      </c>
      <c r="G4" s="479" t="b">
        <v>0</v>
      </c>
      <c r="H4" s="154" t="str">
        <f>IF(I4,"A","")</f>
        <v/>
      </c>
      <c r="I4" s="479" t="b">
        <v>0</v>
      </c>
      <c r="J4" s="154" t="str">
        <f>IF(K4,"A","")</f>
        <v/>
      </c>
      <c r="K4" s="479" t="b">
        <v>0</v>
      </c>
      <c r="L4" s="154" t="str">
        <f>IF(M4,"A","")</f>
        <v/>
      </c>
      <c r="M4" s="479" t="b">
        <v>0</v>
      </c>
      <c r="N4" s="154" t="str">
        <f>IF(O4,"A","")</f>
        <v/>
      </c>
      <c r="O4" s="479" t="b">
        <v>0</v>
      </c>
      <c r="P4" s="154" t="str">
        <f>IF(Q4,"A","")</f>
        <v/>
      </c>
      <c r="Q4" s="479" t="b">
        <v>0</v>
      </c>
      <c r="R4" s="154" t="str">
        <f>IF(S4,"A","")</f>
        <v/>
      </c>
      <c r="S4" s="479" t="b">
        <v>0</v>
      </c>
      <c r="U4" s="204"/>
    </row>
    <row r="5" spans="1:21" x14ac:dyDescent="0.2">
      <c r="B5" s="154" t="str">
        <f>IF(C5,"Na K","")</f>
        <v/>
      </c>
      <c r="C5" s="479" t="b">
        <v>0</v>
      </c>
      <c r="D5" s="154" t="str">
        <f>IF(E5,"Na K","")</f>
        <v/>
      </c>
      <c r="E5" s="479" t="b">
        <v>0</v>
      </c>
      <c r="F5" s="154" t="str">
        <f>IF(G5,"Na K","")</f>
        <v/>
      </c>
      <c r="G5" s="479" t="b">
        <v>0</v>
      </c>
      <c r="H5" s="154" t="str">
        <f>IF(I5,"Na K","")</f>
        <v/>
      </c>
      <c r="I5" s="479" t="b">
        <v>0</v>
      </c>
      <c r="J5" s="154" t="str">
        <f>IF(K5,"Na K","")</f>
        <v/>
      </c>
      <c r="K5" s="479" t="b">
        <v>0</v>
      </c>
      <c r="L5" s="154" t="str">
        <f>IF(M5,"Na K","")</f>
        <v/>
      </c>
      <c r="M5" s="479" t="b">
        <v>0</v>
      </c>
      <c r="N5" s="154" t="str">
        <f>IF(O5,"Na K","")</f>
        <v/>
      </c>
      <c r="O5" s="479" t="b">
        <v>0</v>
      </c>
      <c r="P5" s="154" t="str">
        <f>IF(Q5,"Na K","")</f>
        <v/>
      </c>
      <c r="Q5" s="479" t="b">
        <v>0</v>
      </c>
      <c r="R5" s="154" t="str">
        <f>IF(S5,"Na K","")</f>
        <v/>
      </c>
      <c r="S5" s="479" t="b">
        <v>0</v>
      </c>
      <c r="U5" s="204"/>
    </row>
    <row r="6" spans="1:21" x14ac:dyDescent="0.2">
      <c r="A6" s="351"/>
      <c r="B6" s="154" t="str">
        <f>IF(C6,"Cl","")</f>
        <v/>
      </c>
      <c r="C6" s="479" t="b">
        <v>0</v>
      </c>
      <c r="D6" s="154" t="str">
        <f>IF(E6,"Cl","")</f>
        <v/>
      </c>
      <c r="E6" s="479" t="b">
        <v>0</v>
      </c>
      <c r="F6" s="154" t="str">
        <f>IF(G6,"Cl","")</f>
        <v/>
      </c>
      <c r="G6" s="479" t="b">
        <v>0</v>
      </c>
      <c r="H6" s="154" t="str">
        <f>IF(I6,"Cl","")</f>
        <v/>
      </c>
      <c r="I6" s="479" t="b">
        <v>0</v>
      </c>
      <c r="J6" s="154" t="str">
        <f>IF(K6,"Cl","")</f>
        <v/>
      </c>
      <c r="K6" s="479" t="b">
        <v>0</v>
      </c>
      <c r="L6" s="154" t="str">
        <f>IF(M6,"Cl","")</f>
        <v/>
      </c>
      <c r="M6" s="479" t="b">
        <v>0</v>
      </c>
      <c r="N6" s="154" t="str">
        <f>IF(O6,"Cl","")</f>
        <v/>
      </c>
      <c r="O6" s="479" t="b">
        <v>0</v>
      </c>
      <c r="P6" s="154" t="str">
        <f>IF(Q6,"Cl","")</f>
        <v/>
      </c>
      <c r="Q6" s="479" t="b">
        <v>0</v>
      </c>
      <c r="R6" s="154" t="str">
        <f>IF(S6,"Cl","")</f>
        <v/>
      </c>
      <c r="S6" s="479" t="b">
        <v>0</v>
      </c>
      <c r="U6" s="204"/>
    </row>
    <row r="7" spans="1:21" x14ac:dyDescent="0.2">
      <c r="B7" s="154" t="str">
        <f>IF(C7,"Gluc","")</f>
        <v/>
      </c>
      <c r="C7" s="479" t="b">
        <v>0</v>
      </c>
      <c r="D7" s="154" t="str">
        <f>IF(E7,"Gluc","")</f>
        <v/>
      </c>
      <c r="E7" s="479" t="b">
        <v>0</v>
      </c>
      <c r="F7" s="154" t="str">
        <f>IF(G7,"Gluc","")</f>
        <v/>
      </c>
      <c r="G7" s="479" t="b">
        <v>0</v>
      </c>
      <c r="H7" s="154" t="str">
        <f>IF(I7,"Gluc","")</f>
        <v/>
      </c>
      <c r="I7" s="479" t="b">
        <v>0</v>
      </c>
      <c r="J7" s="154" t="str">
        <f>IF(K7,"Gluc","")</f>
        <v/>
      </c>
      <c r="K7" s="479" t="b">
        <v>0</v>
      </c>
      <c r="L7" s="154" t="str">
        <f>IF(M7,"Gluc","")</f>
        <v/>
      </c>
      <c r="M7" s="479" t="b">
        <v>0</v>
      </c>
      <c r="N7" s="154" t="str">
        <f>IF(O7,"Gluc","")</f>
        <v/>
      </c>
      <c r="O7" s="479" t="b">
        <v>0</v>
      </c>
      <c r="P7" s="154" t="str">
        <f>IF(Q7,"Gluc","")</f>
        <v/>
      </c>
      <c r="Q7" s="479" t="b">
        <v>0</v>
      </c>
      <c r="R7" s="154" t="str">
        <f>IF(S7,"Gluc","")</f>
        <v/>
      </c>
      <c r="S7" s="479" t="b">
        <v>0</v>
      </c>
      <c r="U7" s="204"/>
    </row>
    <row r="8" spans="1:21" x14ac:dyDescent="0.2">
      <c r="B8" s="154" t="str">
        <f>IF(C8,"Hb Ht","")</f>
        <v/>
      </c>
      <c r="C8" s="479" t="b">
        <v>0</v>
      </c>
      <c r="D8" s="154" t="str">
        <f>IF(E8,"Hb Ht","")</f>
        <v/>
      </c>
      <c r="E8" s="479" t="b">
        <v>0</v>
      </c>
      <c r="F8" s="154" t="str">
        <f>IF(G8,"Hb Ht","")</f>
        <v/>
      </c>
      <c r="G8" s="479" t="b">
        <v>0</v>
      </c>
      <c r="H8" s="154" t="str">
        <f>IF(I8,"Hb Ht","")</f>
        <v/>
      </c>
      <c r="I8" s="479" t="b">
        <v>0</v>
      </c>
      <c r="J8" s="154" t="str">
        <f>IF(K8,"Hb Ht","")</f>
        <v/>
      </c>
      <c r="K8" s="479" t="b">
        <v>0</v>
      </c>
      <c r="L8" s="154" t="str">
        <f>IF(M8,"Hb Ht","")</f>
        <v/>
      </c>
      <c r="M8" s="479" t="b">
        <v>0</v>
      </c>
      <c r="N8" s="154" t="str">
        <f>IF(O8,"Hb Ht","")</f>
        <v/>
      </c>
      <c r="O8" s="479" t="b">
        <v>0</v>
      </c>
      <c r="P8" s="154" t="str">
        <f>IF(Q8,"Hb Ht","")</f>
        <v/>
      </c>
      <c r="Q8" s="479" t="b">
        <v>0</v>
      </c>
      <c r="R8" s="154" t="str">
        <f>IF(S8,"Hb Ht","")</f>
        <v/>
      </c>
      <c r="S8" s="479" t="b">
        <v>0</v>
      </c>
      <c r="U8" s="204"/>
    </row>
    <row r="9" spans="1:21" x14ac:dyDescent="0.2">
      <c r="B9" s="154" t="str">
        <f>IF(C9,"L","")</f>
        <v/>
      </c>
      <c r="C9" s="479" t="b">
        <v>0</v>
      </c>
      <c r="D9" s="154" t="str">
        <f>IF(E9,"L","")</f>
        <v/>
      </c>
      <c r="E9" s="479" t="b">
        <v>0</v>
      </c>
      <c r="F9" s="154" t="str">
        <f>IF(G9,"L","")</f>
        <v/>
      </c>
      <c r="G9" s="479" t="b">
        <v>0</v>
      </c>
      <c r="H9" s="154" t="str">
        <f>IF(I9,"L","")</f>
        <v/>
      </c>
      <c r="I9" s="479" t="b">
        <v>0</v>
      </c>
      <c r="J9" s="154" t="str">
        <f>IF(K9,"L","")</f>
        <v/>
      </c>
      <c r="K9" s="479" t="b">
        <v>0</v>
      </c>
      <c r="L9" s="154" t="str">
        <f>IF(M9,"L","")</f>
        <v/>
      </c>
      <c r="M9" s="479" t="b">
        <v>0</v>
      </c>
      <c r="N9" s="154" t="str">
        <f>IF(O9,"L","")</f>
        <v/>
      </c>
      <c r="O9" s="479" t="b">
        <v>0</v>
      </c>
      <c r="P9" s="154" t="str">
        <f>IF(Q9,"L","")</f>
        <v/>
      </c>
      <c r="Q9" s="479" t="b">
        <v>0</v>
      </c>
      <c r="R9" s="154" t="str">
        <f>IF(S9,"L","")</f>
        <v/>
      </c>
      <c r="S9" s="479" t="b">
        <v>0</v>
      </c>
      <c r="U9" s="204"/>
    </row>
    <row r="10" spans="1:21" x14ac:dyDescent="0.2">
      <c r="B10" s="154" t="str">
        <f>IF(C10,"L+diff","")</f>
        <v/>
      </c>
      <c r="C10" s="479" t="b">
        <v>0</v>
      </c>
      <c r="D10" s="154" t="str">
        <f>IF(E10,"L+diff","")</f>
        <v/>
      </c>
      <c r="E10" s="479" t="b">
        <v>0</v>
      </c>
      <c r="F10" s="154" t="str">
        <f>IF(G10,"L+diff","")</f>
        <v/>
      </c>
      <c r="G10" s="479" t="b">
        <v>0</v>
      </c>
      <c r="H10" s="154" t="str">
        <f>IF(I10,"L+diff","")</f>
        <v/>
      </c>
      <c r="I10" s="479" t="b">
        <v>0</v>
      </c>
      <c r="J10" s="154" t="str">
        <f>IF(K10,"L+diff","")</f>
        <v/>
      </c>
      <c r="K10" s="479" t="b">
        <v>0</v>
      </c>
      <c r="L10" s="154" t="str">
        <f>IF(M10,"L+diff","")</f>
        <v/>
      </c>
      <c r="M10" s="479" t="b">
        <v>0</v>
      </c>
      <c r="N10" s="154" t="str">
        <f>IF(O10,"L+diff","")</f>
        <v/>
      </c>
      <c r="O10" s="479" t="b">
        <v>0</v>
      </c>
      <c r="P10" s="154" t="str">
        <f>IF(Q10,"L+diff","")</f>
        <v/>
      </c>
      <c r="Q10" s="479" t="b">
        <v>0</v>
      </c>
      <c r="R10" s="154" t="str">
        <f>IF(S10,"L+diff","")</f>
        <v/>
      </c>
      <c r="S10" s="479" t="b">
        <v>0</v>
      </c>
      <c r="U10" s="204"/>
    </row>
    <row r="11" spans="1:21" x14ac:dyDescent="0.2">
      <c r="B11" s="154" t="str">
        <f>IF(C11,"T","")</f>
        <v/>
      </c>
      <c r="C11" s="479" t="b">
        <v>0</v>
      </c>
      <c r="D11" s="154" t="str">
        <f>IF(E11,"T","")</f>
        <v/>
      </c>
      <c r="E11" s="479" t="b">
        <v>0</v>
      </c>
      <c r="F11" s="154" t="str">
        <f>IF(G11,"T","")</f>
        <v/>
      </c>
      <c r="G11" s="479" t="b">
        <v>0</v>
      </c>
      <c r="H11" s="154" t="str">
        <f>IF(I11,"T","")</f>
        <v/>
      </c>
      <c r="I11" s="479" t="b">
        <v>0</v>
      </c>
      <c r="J11" s="154" t="str">
        <f>IF(K11,"T","")</f>
        <v/>
      </c>
      <c r="K11" s="479" t="b">
        <v>0</v>
      </c>
      <c r="L11" s="154" t="str">
        <f>IF(M11,"T","")</f>
        <v/>
      </c>
      <c r="M11" s="479" t="b">
        <v>0</v>
      </c>
      <c r="N11" s="154" t="str">
        <f>IF(O11,"T","")</f>
        <v/>
      </c>
      <c r="O11" s="479" t="b">
        <v>0</v>
      </c>
      <c r="P11" s="154" t="str">
        <f>IF(Q11,"T","")</f>
        <v/>
      </c>
      <c r="Q11" s="479" t="b">
        <v>0</v>
      </c>
      <c r="R11" s="154" t="str">
        <f>IF(S11,"T","")</f>
        <v/>
      </c>
      <c r="S11" s="479" t="b">
        <v>0</v>
      </c>
      <c r="U11" s="204"/>
    </row>
    <row r="12" spans="1:21" x14ac:dyDescent="0.2">
      <c r="B12" s="154" t="str">
        <f>IF(C12,"CRP","")</f>
        <v/>
      </c>
      <c r="C12" s="479" t="b">
        <v>0</v>
      </c>
      <c r="D12" s="154" t="str">
        <f>IF(E12,"CRP","")</f>
        <v/>
      </c>
      <c r="E12" s="479" t="b">
        <v>0</v>
      </c>
      <c r="F12" s="154" t="str">
        <f>IF(G12,"CRP","")</f>
        <v/>
      </c>
      <c r="G12" s="479" t="b">
        <v>0</v>
      </c>
      <c r="H12" s="154" t="str">
        <f>IF(I12,"CRP","")</f>
        <v/>
      </c>
      <c r="I12" s="479" t="b">
        <v>0</v>
      </c>
      <c r="J12" s="154" t="str">
        <f>IF(K12,"CRP","")</f>
        <v/>
      </c>
      <c r="K12" s="479" t="b">
        <v>0</v>
      </c>
      <c r="L12" s="154" t="str">
        <f>IF(M12,"CRP","")</f>
        <v/>
      </c>
      <c r="M12" s="479" t="b">
        <v>0</v>
      </c>
      <c r="N12" s="154" t="str">
        <f>IF(O12,"CRP","")</f>
        <v/>
      </c>
      <c r="O12" s="479" t="b">
        <v>0</v>
      </c>
      <c r="P12" s="154" t="str">
        <f>IF(Q12,"CRP","")</f>
        <v/>
      </c>
      <c r="Q12" s="479" t="b">
        <v>0</v>
      </c>
      <c r="R12" s="154" t="str">
        <f>IF(S12,"CRP","")</f>
        <v/>
      </c>
      <c r="S12" s="479" t="b">
        <v>0</v>
      </c>
      <c r="U12" s="204"/>
    </row>
    <row r="13" spans="1:21" x14ac:dyDescent="0.2">
      <c r="B13" s="154" t="str">
        <f>IF(C13,"Lac","")</f>
        <v/>
      </c>
      <c r="C13" s="479" t="b">
        <v>0</v>
      </c>
      <c r="D13" s="154" t="str">
        <f>IF(E13,"Lac","")</f>
        <v/>
      </c>
      <c r="E13" s="479" t="b">
        <v>0</v>
      </c>
      <c r="F13" s="154" t="str">
        <f>IF(G13,"Lac","")</f>
        <v/>
      </c>
      <c r="G13" s="479" t="b">
        <v>0</v>
      </c>
      <c r="H13" s="154" t="str">
        <f>IF(I13,"Lac","")</f>
        <v/>
      </c>
      <c r="I13" s="479" t="b">
        <v>0</v>
      </c>
      <c r="J13" s="154" t="str">
        <f>IF(K13,"Lac","")</f>
        <v/>
      </c>
      <c r="K13" s="479" t="b">
        <v>0</v>
      </c>
      <c r="L13" s="154" t="str">
        <f>IF(M13,"Lac","")</f>
        <v/>
      </c>
      <c r="M13" s="479" t="b">
        <v>0</v>
      </c>
      <c r="N13" s="154" t="str">
        <f>IF(O13,"Lac","")</f>
        <v/>
      </c>
      <c r="O13" s="479" t="b">
        <v>0</v>
      </c>
      <c r="P13" s="154" t="str">
        <f>IF(Q13,"Lac","")</f>
        <v/>
      </c>
      <c r="Q13" s="479" t="b">
        <v>0</v>
      </c>
      <c r="R13" s="154" t="str">
        <f>IF(S13,"Lac","")</f>
        <v/>
      </c>
      <c r="S13" s="479" t="b">
        <v>0</v>
      </c>
      <c r="U13" s="204"/>
    </row>
    <row r="14" spans="1:21" x14ac:dyDescent="0.2">
      <c r="B14" s="154" t="str">
        <f>IF(C14,"Ur","")</f>
        <v/>
      </c>
      <c r="C14" s="479" t="b">
        <v>0</v>
      </c>
      <c r="D14" s="154" t="str">
        <f>IF(E14,"Ur","")</f>
        <v/>
      </c>
      <c r="E14" s="479" t="b">
        <v>0</v>
      </c>
      <c r="F14" s="154" t="str">
        <f>IF(G14,"Ur","")</f>
        <v/>
      </c>
      <c r="G14" s="479" t="b">
        <v>0</v>
      </c>
      <c r="H14" s="154" t="str">
        <f>IF(I14,"Ur","")</f>
        <v/>
      </c>
      <c r="I14" s="479" t="b">
        <v>0</v>
      </c>
      <c r="J14" s="154" t="str">
        <f>IF(K14,"Ur","")</f>
        <v/>
      </c>
      <c r="K14" s="479" t="b">
        <v>0</v>
      </c>
      <c r="L14" s="154" t="str">
        <f>IF(M14,"Ur","")</f>
        <v/>
      </c>
      <c r="M14" s="479" t="b">
        <v>0</v>
      </c>
      <c r="N14" s="154" t="str">
        <f>IF(O14,"Ur","")</f>
        <v/>
      </c>
      <c r="O14" s="479" t="b">
        <v>0</v>
      </c>
      <c r="P14" s="154" t="str">
        <f>IF(Q14,"Ur","")</f>
        <v/>
      </c>
      <c r="Q14" s="479" t="b">
        <v>0</v>
      </c>
      <c r="R14" s="154" t="str">
        <f>IF(S14,"Ur","")</f>
        <v/>
      </c>
      <c r="S14" s="479" t="b">
        <v>0</v>
      </c>
      <c r="U14" s="204"/>
    </row>
    <row r="15" spans="1:21" x14ac:dyDescent="0.2">
      <c r="B15" s="154" t="str">
        <f>IF(C15,"Kr","")</f>
        <v/>
      </c>
      <c r="C15" s="479" t="b">
        <v>0</v>
      </c>
      <c r="D15" s="154" t="str">
        <f>IF(E15,"Kr++","")</f>
        <v/>
      </c>
      <c r="E15" s="479" t="b">
        <v>0</v>
      </c>
      <c r="F15" s="154" t="str">
        <f>IF(G15,"Kr","")</f>
        <v/>
      </c>
      <c r="G15" s="479" t="b">
        <v>0</v>
      </c>
      <c r="H15" s="154" t="str">
        <f>IF(I15,"Kr","")</f>
        <v/>
      </c>
      <c r="I15" s="479" t="b">
        <v>0</v>
      </c>
      <c r="J15" s="154" t="str">
        <f>IF(K15,"Kr","")</f>
        <v/>
      </c>
      <c r="K15" s="479" t="b">
        <v>0</v>
      </c>
      <c r="L15" s="154" t="str">
        <f>IF(M15,"Kr","")</f>
        <v/>
      </c>
      <c r="M15" s="479" t="b">
        <v>0</v>
      </c>
      <c r="N15" s="154" t="str">
        <f>IF(O15,"Kr","")</f>
        <v/>
      </c>
      <c r="O15" s="479" t="b">
        <v>0</v>
      </c>
      <c r="P15" s="154" t="str">
        <f>IF(Q15,"Kr","")</f>
        <v/>
      </c>
      <c r="Q15" s="479" t="b">
        <v>0</v>
      </c>
      <c r="R15" s="154" t="str">
        <f>IF(S15,"Kr","")</f>
        <v/>
      </c>
      <c r="S15" s="479" t="b">
        <v>0</v>
      </c>
      <c r="U15" s="204"/>
    </row>
    <row r="16" spans="1:21" x14ac:dyDescent="0.2">
      <c r="B16" s="154" t="str">
        <f>IF(C16,"Ca++","")</f>
        <v/>
      </c>
      <c r="C16" s="479" t="b">
        <v>0</v>
      </c>
      <c r="D16" s="154" t="str">
        <f>IF(E16,"Ca++","")</f>
        <v/>
      </c>
      <c r="E16" s="479" t="b">
        <v>0</v>
      </c>
      <c r="F16" s="154" t="str">
        <f>IF(G16,"Ca++","")</f>
        <v/>
      </c>
      <c r="G16" s="479" t="b">
        <v>0</v>
      </c>
      <c r="H16" s="154" t="str">
        <f>IF(I16,"Ca++","")</f>
        <v/>
      </c>
      <c r="I16" s="479" t="b">
        <v>0</v>
      </c>
      <c r="J16" s="154" t="str">
        <f>IF(K16,"Ca++","")</f>
        <v/>
      </c>
      <c r="K16" s="479" t="b">
        <v>0</v>
      </c>
      <c r="L16" s="154" t="str">
        <f>IF(M16,"Ca++","")</f>
        <v/>
      </c>
      <c r="M16" s="479" t="b">
        <v>0</v>
      </c>
      <c r="N16" s="154" t="str">
        <f>IF(O16,"Ca++","")</f>
        <v/>
      </c>
      <c r="O16" s="479" t="b">
        <v>0</v>
      </c>
      <c r="P16" s="154" t="str">
        <f>IF(Q16,"Ca++","")</f>
        <v/>
      </c>
      <c r="Q16" s="479" t="b">
        <v>0</v>
      </c>
      <c r="R16" s="154" t="str">
        <f>IF(S16,"Ca++","")</f>
        <v/>
      </c>
      <c r="S16" s="479" t="b">
        <v>0</v>
      </c>
      <c r="U16" s="204"/>
    </row>
    <row r="17" spans="2:21" x14ac:dyDescent="0.2">
      <c r="B17" s="154" t="str">
        <f>IF(C17,"Mg++","")</f>
        <v/>
      </c>
      <c r="C17" s="479" t="b">
        <v>0</v>
      </c>
      <c r="D17" s="154" t="str">
        <f>IF(E17,"Mg++","")</f>
        <v/>
      </c>
      <c r="E17" s="479" t="b">
        <v>0</v>
      </c>
      <c r="F17" s="154" t="str">
        <f>IF(G17,"Mg++","")</f>
        <v/>
      </c>
      <c r="G17" s="479" t="b">
        <v>0</v>
      </c>
      <c r="H17" s="154" t="str">
        <f>IF(I17,"Mg++","")</f>
        <v/>
      </c>
      <c r="I17" s="479" t="b">
        <v>0</v>
      </c>
      <c r="J17" s="154" t="str">
        <f>IF(K17,"Mg++","")</f>
        <v/>
      </c>
      <c r="K17" s="479" t="b">
        <v>0</v>
      </c>
      <c r="L17" s="154" t="str">
        <f>IF(M17,"Mg++","")</f>
        <v/>
      </c>
      <c r="M17" s="479" t="b">
        <v>0</v>
      </c>
      <c r="N17" s="154" t="str">
        <f>IF(O17,"Mg++","")</f>
        <v/>
      </c>
      <c r="O17" s="479" t="b">
        <v>0</v>
      </c>
      <c r="P17" s="154" t="str">
        <f>IF(Q17,"Mg++","")</f>
        <v/>
      </c>
      <c r="Q17" s="479" t="b">
        <v>0</v>
      </c>
      <c r="R17" s="154" t="str">
        <f>IF(S17,"Mg++","")</f>
        <v/>
      </c>
      <c r="S17" s="479" t="b">
        <v>0</v>
      </c>
      <c r="U17" s="204"/>
    </row>
    <row r="18" spans="2:21" x14ac:dyDescent="0.2">
      <c r="B18" s="154" t="str">
        <f>IF(C18,"Fosfaat","")</f>
        <v/>
      </c>
      <c r="C18" s="479" t="b">
        <v>0</v>
      </c>
      <c r="D18" s="154" t="str">
        <f>IF(E18,"Fosfaat","")</f>
        <v/>
      </c>
      <c r="E18" s="479" t="b">
        <v>0</v>
      </c>
      <c r="F18" s="154" t="str">
        <f>IF(G18,"Fosfaat","")</f>
        <v/>
      </c>
      <c r="G18" s="479" t="b">
        <v>0</v>
      </c>
      <c r="H18" s="154" t="str">
        <f>IF(I18,"Fosfaat","")</f>
        <v/>
      </c>
      <c r="I18" s="479" t="b">
        <v>0</v>
      </c>
      <c r="J18" s="154" t="str">
        <f>IF(K18,"Fosfaat","")</f>
        <v/>
      </c>
      <c r="K18" s="479" t="b">
        <v>0</v>
      </c>
      <c r="L18" s="154" t="str">
        <f>IF(M18,"Fosfaat","")</f>
        <v/>
      </c>
      <c r="M18" s="479" t="b">
        <v>0</v>
      </c>
      <c r="N18" s="154" t="str">
        <f>IF(O18,"Fosfaat","")</f>
        <v/>
      </c>
      <c r="O18" s="479" t="b">
        <v>0</v>
      </c>
      <c r="P18" s="154" t="str">
        <f>IF(Q18,"Fosfaat","")</f>
        <v/>
      </c>
      <c r="Q18" s="479" t="b">
        <v>0</v>
      </c>
      <c r="R18" s="154" t="str">
        <f>IF(S18,"Fosfaat","")</f>
        <v/>
      </c>
      <c r="S18" s="479" t="b">
        <v>0</v>
      </c>
      <c r="U18" s="204"/>
    </row>
    <row r="19" spans="2:21" x14ac:dyDescent="0.2">
      <c r="B19" s="154" t="str">
        <f>IF(C19,"Alb","")</f>
        <v/>
      </c>
      <c r="C19" s="479" t="b">
        <v>0</v>
      </c>
      <c r="D19" s="154" t="str">
        <f>IF(E19,"Alb","")</f>
        <v/>
      </c>
      <c r="E19" s="479" t="b">
        <v>0</v>
      </c>
      <c r="F19" s="154" t="str">
        <f>IF(G19,"Alb","")</f>
        <v/>
      </c>
      <c r="G19" s="479" t="b">
        <v>0</v>
      </c>
      <c r="H19" s="154" t="str">
        <f>IF(I19,"Alb","")</f>
        <v/>
      </c>
      <c r="I19" s="479" t="b">
        <v>0</v>
      </c>
      <c r="J19" s="154" t="str">
        <f>IF(K19,"Alb","")</f>
        <v/>
      </c>
      <c r="K19" s="479" t="b">
        <v>0</v>
      </c>
      <c r="L19" s="154" t="str">
        <f>IF(M19,"Alb","")</f>
        <v/>
      </c>
      <c r="M19" s="479" t="b">
        <v>0</v>
      </c>
      <c r="N19" s="154" t="str">
        <f>IF(O19,"Alb","")</f>
        <v/>
      </c>
      <c r="O19" s="479" t="b">
        <v>0</v>
      </c>
      <c r="P19" s="154" t="str">
        <f>IF(Q19,"Alb","")</f>
        <v/>
      </c>
      <c r="Q19" s="479" t="b">
        <v>0</v>
      </c>
      <c r="R19" s="154" t="str">
        <f>IF(S19,"Alb","")</f>
        <v/>
      </c>
      <c r="S19" s="479" t="b">
        <v>0</v>
      </c>
      <c r="U19" s="204"/>
    </row>
    <row r="20" spans="2:21" x14ac:dyDescent="0.2">
      <c r="B20" s="154" t="str">
        <f>IF(C20,"Ca","")</f>
        <v/>
      </c>
      <c r="C20" s="479" t="b">
        <v>0</v>
      </c>
      <c r="D20" s="154" t="str">
        <f>IF(E20,"Ca","")</f>
        <v/>
      </c>
      <c r="E20" s="479" t="b">
        <v>0</v>
      </c>
      <c r="F20" s="154" t="str">
        <f>IF(G20,"Ca","")</f>
        <v/>
      </c>
      <c r="G20" s="479" t="b">
        <v>0</v>
      </c>
      <c r="H20" s="154" t="str">
        <f>IF(I20,"Ca","")</f>
        <v/>
      </c>
      <c r="I20" s="479" t="b">
        <v>0</v>
      </c>
      <c r="J20" s="154" t="str">
        <f>IF(K20,"Ca","")</f>
        <v/>
      </c>
      <c r="K20" s="479" t="b">
        <v>0</v>
      </c>
      <c r="L20" s="154" t="str">
        <f>IF(M20,"Ca","")</f>
        <v/>
      </c>
      <c r="M20" s="479" t="b">
        <v>0</v>
      </c>
      <c r="N20" s="154" t="str">
        <f>IF(O20,"Ca","")</f>
        <v/>
      </c>
      <c r="O20" s="479" t="b">
        <v>0</v>
      </c>
      <c r="P20" s="154" t="str">
        <f>IF(Q20,"Ca","")</f>
        <v/>
      </c>
      <c r="Q20" s="479" t="b">
        <v>0</v>
      </c>
      <c r="R20" s="154" t="str">
        <f>IF(S20,"Ca","")</f>
        <v/>
      </c>
      <c r="S20" s="479" t="b">
        <v>0</v>
      </c>
      <c r="U20" s="204"/>
    </row>
    <row r="21" spans="2:21" x14ac:dyDescent="0.2">
      <c r="B21" s="154" t="str">
        <f>IF(C21,"ASAT","")</f>
        <v/>
      </c>
      <c r="C21" s="479" t="b">
        <v>0</v>
      </c>
      <c r="D21" s="154" t="str">
        <f>IF(E21,"ASAT","")</f>
        <v/>
      </c>
      <c r="E21" s="479" t="b">
        <v>0</v>
      </c>
      <c r="F21" s="154" t="str">
        <f>IF(G21,"ASAT","")</f>
        <v/>
      </c>
      <c r="G21" s="479" t="b">
        <v>0</v>
      </c>
      <c r="H21" s="154" t="str">
        <f>IF(I21,"ASAT","")</f>
        <v/>
      </c>
      <c r="I21" s="479" t="b">
        <v>0</v>
      </c>
      <c r="J21" s="154" t="str">
        <f>IF(K21,"ASAT","")</f>
        <v/>
      </c>
      <c r="K21" s="479" t="b">
        <v>0</v>
      </c>
      <c r="L21" s="154" t="str">
        <f>IF(M21,"ASAT","")</f>
        <v/>
      </c>
      <c r="M21" s="479" t="b">
        <v>0</v>
      </c>
      <c r="N21" s="154" t="str">
        <f>IF(O21,"ASAT","")</f>
        <v/>
      </c>
      <c r="O21" s="479" t="b">
        <v>0</v>
      </c>
      <c r="P21" s="154" t="str">
        <f>IF(Q21,"ASAT","")</f>
        <v/>
      </c>
      <c r="Q21" s="479" t="b">
        <v>0</v>
      </c>
      <c r="R21" s="154" t="str">
        <f>IF(S21,"ASAT","")</f>
        <v/>
      </c>
      <c r="S21" s="479" t="b">
        <v>0</v>
      </c>
      <c r="U21" s="204"/>
    </row>
    <row r="22" spans="2:21" x14ac:dyDescent="0.2">
      <c r="B22" s="154" t="str">
        <f>IF(C22,"ALAT","")</f>
        <v/>
      </c>
      <c r="C22" s="479" t="b">
        <v>0</v>
      </c>
      <c r="D22" s="154" t="str">
        <f>IF(E22,"ALAT","")</f>
        <v/>
      </c>
      <c r="E22" s="479" t="b">
        <v>0</v>
      </c>
      <c r="F22" s="154" t="str">
        <f>IF(G22,"ALAT","")</f>
        <v/>
      </c>
      <c r="G22" s="479" t="b">
        <v>0</v>
      </c>
      <c r="H22" s="154" t="str">
        <f>IF(I22,"ALAT","")</f>
        <v/>
      </c>
      <c r="I22" s="479" t="b">
        <v>0</v>
      </c>
      <c r="J22" s="154" t="str">
        <f>IF(K22,"ALAT","")</f>
        <v/>
      </c>
      <c r="K22" s="479" t="b">
        <v>0</v>
      </c>
      <c r="L22" s="154" t="str">
        <f>IF(M22,"ALAT","")</f>
        <v/>
      </c>
      <c r="M22" s="479" t="b">
        <v>0</v>
      </c>
      <c r="N22" s="154" t="str">
        <f>IF(O22,"ALAT","")</f>
        <v/>
      </c>
      <c r="O22" s="479" t="b">
        <v>0</v>
      </c>
      <c r="P22" s="154" t="str">
        <f>IF(Q22,"ALAT","")</f>
        <v/>
      </c>
      <c r="Q22" s="479" t="b">
        <v>0</v>
      </c>
      <c r="R22" s="154" t="str">
        <f>IF(S22,"ALAT","")</f>
        <v/>
      </c>
      <c r="S22" s="479" t="b">
        <v>0</v>
      </c>
      <c r="U22" s="204"/>
    </row>
    <row r="23" spans="2:21" x14ac:dyDescent="0.2">
      <c r="B23" s="154" t="str">
        <f>IF(C23,"GGT","")</f>
        <v/>
      </c>
      <c r="C23" s="479" t="b">
        <v>0</v>
      </c>
      <c r="D23" s="154" t="str">
        <f>IF(E23,"GGT","")</f>
        <v/>
      </c>
      <c r="E23" s="479" t="b">
        <v>0</v>
      </c>
      <c r="F23" s="154" t="str">
        <f>IF(G23,"GGT","")</f>
        <v/>
      </c>
      <c r="G23" s="479" t="b">
        <v>0</v>
      </c>
      <c r="H23" s="154" t="str">
        <f>IF(I23,"GGT","")</f>
        <v/>
      </c>
      <c r="I23" s="479" t="b">
        <v>0</v>
      </c>
      <c r="J23" s="154" t="str">
        <f>IF(K23,"GGT","")</f>
        <v/>
      </c>
      <c r="K23" s="479" t="b">
        <v>0</v>
      </c>
      <c r="L23" s="154" t="str">
        <f>IF(M23,"GGT","")</f>
        <v/>
      </c>
      <c r="M23" s="479" t="b">
        <v>0</v>
      </c>
      <c r="N23" s="154" t="str">
        <f>IF(O23,"GGT","")</f>
        <v/>
      </c>
      <c r="O23" s="479" t="b">
        <v>0</v>
      </c>
      <c r="P23" s="154" t="str">
        <f>IF(Q23,"GGT","")</f>
        <v/>
      </c>
      <c r="Q23" s="479" t="b">
        <v>0</v>
      </c>
      <c r="R23" s="154" t="str">
        <f>IF(S23,"GGT","")</f>
        <v/>
      </c>
      <c r="S23" s="479" t="b">
        <v>0</v>
      </c>
      <c r="U23" s="204"/>
    </row>
    <row r="24" spans="2:21" x14ac:dyDescent="0.2">
      <c r="B24" s="154" t="str">
        <f>IF(C24,"AF","")</f>
        <v/>
      </c>
      <c r="C24" s="479" t="b">
        <v>0</v>
      </c>
      <c r="D24" s="154" t="str">
        <f>IF(E24,"AF","")</f>
        <v/>
      </c>
      <c r="E24" s="479" t="b">
        <v>0</v>
      </c>
      <c r="F24" s="154" t="str">
        <f>IF(G24,"AF","")</f>
        <v/>
      </c>
      <c r="G24" s="479" t="b">
        <v>0</v>
      </c>
      <c r="H24" s="154" t="str">
        <f>IF(I24,"AF","")</f>
        <v/>
      </c>
      <c r="I24" s="479" t="b">
        <v>0</v>
      </c>
      <c r="J24" s="154" t="str">
        <f>IF(K24,"AF","")</f>
        <v/>
      </c>
      <c r="K24" s="479" t="b">
        <v>0</v>
      </c>
      <c r="L24" s="154" t="str">
        <f>IF(M24,"AF","")</f>
        <v/>
      </c>
      <c r="M24" s="479" t="b">
        <v>0</v>
      </c>
      <c r="N24" s="154" t="str">
        <f>IF(O24,"AF","")</f>
        <v/>
      </c>
      <c r="O24" s="479" t="b">
        <v>0</v>
      </c>
      <c r="P24" s="154" t="str">
        <f>IF(Q24,"AF","")</f>
        <v/>
      </c>
      <c r="Q24" s="479" t="b">
        <v>0</v>
      </c>
      <c r="R24" s="154" t="str">
        <f>IF(S24,"AF","")</f>
        <v/>
      </c>
      <c r="S24" s="479" t="b">
        <v>0</v>
      </c>
      <c r="U24" s="204"/>
    </row>
    <row r="25" spans="2:21" x14ac:dyDescent="0.2">
      <c r="B25" s="154" t="str">
        <f>IF(C25,"LDH","")</f>
        <v/>
      </c>
      <c r="C25" s="479" t="b">
        <v>0</v>
      </c>
      <c r="D25" s="154" t="str">
        <f>IF(E25,"LDH","")</f>
        <v/>
      </c>
      <c r="E25" s="479" t="b">
        <v>0</v>
      </c>
      <c r="F25" s="154" t="str">
        <f>IF(G25,"LDH","")</f>
        <v/>
      </c>
      <c r="G25" s="479" t="b">
        <v>0</v>
      </c>
      <c r="H25" s="154" t="str">
        <f>IF(I25,"LDH","")</f>
        <v/>
      </c>
      <c r="I25" s="479" t="b">
        <v>0</v>
      </c>
      <c r="J25" s="154" t="str">
        <f>IF(K25,"LDH","")</f>
        <v/>
      </c>
      <c r="K25" s="479" t="b">
        <v>0</v>
      </c>
      <c r="L25" s="154" t="str">
        <f>IF(M25,"LDH","")</f>
        <v/>
      </c>
      <c r="M25" s="479" t="b">
        <v>0</v>
      </c>
      <c r="N25" s="154" t="str">
        <f>IF(O25,"LDH","")</f>
        <v/>
      </c>
      <c r="O25" s="479" t="b">
        <v>0</v>
      </c>
      <c r="P25" s="154" t="str">
        <f>IF(Q25,"LDH","")</f>
        <v/>
      </c>
      <c r="Q25" s="479" t="b">
        <v>0</v>
      </c>
      <c r="R25" s="154" t="str">
        <f>IF(S25,"LDH","")</f>
        <v/>
      </c>
      <c r="S25" s="479" t="b">
        <v>0</v>
      </c>
      <c r="U25" s="204"/>
    </row>
    <row r="26" spans="2:21" x14ac:dyDescent="0.2">
      <c r="B26" s="154" t="str">
        <f>IF(C26,"Bili","")</f>
        <v/>
      </c>
      <c r="C26" s="479" t="b">
        <v>0</v>
      </c>
      <c r="D26" s="154" t="str">
        <f>IF(E26,"Bili","")</f>
        <v/>
      </c>
      <c r="E26" s="479" t="b">
        <v>0</v>
      </c>
      <c r="F26" s="154" t="str">
        <f>IF(G26,"Bili","")</f>
        <v/>
      </c>
      <c r="G26" s="479" t="b">
        <v>0</v>
      </c>
      <c r="H26" s="154" t="str">
        <f>IF(I26,"Bili","")</f>
        <v/>
      </c>
      <c r="I26" s="479" t="b">
        <v>0</v>
      </c>
      <c r="J26" s="154" t="str">
        <f>IF(K26,"Bili","")</f>
        <v/>
      </c>
      <c r="K26" s="479" t="b">
        <v>0</v>
      </c>
      <c r="L26" s="154" t="str">
        <f>IF(M26,"Bili","")</f>
        <v/>
      </c>
      <c r="M26" s="479" t="b">
        <v>0</v>
      </c>
      <c r="N26" s="154" t="str">
        <f>IF(O26,"Bili","")</f>
        <v/>
      </c>
      <c r="O26" s="479" t="b">
        <v>0</v>
      </c>
      <c r="P26" s="154" t="str">
        <f>IF(Q26,"Bili","")</f>
        <v/>
      </c>
      <c r="Q26" s="479" t="b">
        <v>0</v>
      </c>
      <c r="R26" s="154" t="str">
        <f>IF(S26,"Bili","")</f>
        <v/>
      </c>
      <c r="S26" s="479" t="b">
        <v>0</v>
      </c>
      <c r="U26" s="204"/>
    </row>
    <row r="27" spans="2:21" x14ac:dyDescent="0.2">
      <c r="B27" s="154" t="str">
        <f>IF(C27,"TG","")</f>
        <v/>
      </c>
      <c r="C27" s="479" t="b">
        <v>0</v>
      </c>
      <c r="D27" s="154" t="str">
        <f>IF(E27,"TG","")</f>
        <v/>
      </c>
      <c r="E27" s="479" t="b">
        <v>0</v>
      </c>
      <c r="F27" s="154" t="str">
        <f>IF(G27,"TG","")</f>
        <v/>
      </c>
      <c r="G27" s="479" t="b">
        <v>0</v>
      </c>
      <c r="H27" s="154" t="str">
        <f>IF(I27,"TG","")</f>
        <v/>
      </c>
      <c r="I27" s="479" t="b">
        <v>0</v>
      </c>
      <c r="J27" s="154" t="str">
        <f>IF(K27,"TG","")</f>
        <v/>
      </c>
      <c r="K27" s="479" t="b">
        <v>0</v>
      </c>
      <c r="L27" s="154" t="str">
        <f>IF(M27,"TG","")</f>
        <v/>
      </c>
      <c r="M27" s="479" t="b">
        <v>0</v>
      </c>
      <c r="N27" s="154" t="str">
        <f>IF(O27,"TG","")</f>
        <v/>
      </c>
      <c r="O27" s="479" t="b">
        <v>0</v>
      </c>
      <c r="P27" s="154" t="str">
        <f>IF(Q27,"TG","")</f>
        <v/>
      </c>
      <c r="Q27" s="479" t="b">
        <v>0</v>
      </c>
      <c r="R27" s="154" t="str">
        <f>IF(S27,"TG","")</f>
        <v/>
      </c>
      <c r="S27" s="479" t="b">
        <v>0</v>
      </c>
      <c r="U27" s="204"/>
    </row>
    <row r="28" spans="2:21" x14ac:dyDescent="0.2">
      <c r="B28" s="154" t="str">
        <f>IF(C28,"PT","")</f>
        <v/>
      </c>
      <c r="C28" s="479" t="b">
        <v>0</v>
      </c>
      <c r="D28" s="154" t="str">
        <f>IF(E28,"PT","")</f>
        <v/>
      </c>
      <c r="E28" s="479" t="b">
        <v>0</v>
      </c>
      <c r="F28" s="154" t="str">
        <f>IF(G28,"PT","")</f>
        <v/>
      </c>
      <c r="G28" s="479" t="b">
        <v>0</v>
      </c>
      <c r="H28" s="154" t="str">
        <f>IF(I28,"PT","")</f>
        <v/>
      </c>
      <c r="I28" s="479" t="b">
        <v>0</v>
      </c>
      <c r="J28" s="154" t="str">
        <f>IF(K28,"PT","")</f>
        <v/>
      </c>
      <c r="K28" s="479" t="b">
        <v>0</v>
      </c>
      <c r="L28" s="154" t="str">
        <f>IF(M28,"PT","")</f>
        <v/>
      </c>
      <c r="M28" s="479" t="b">
        <v>0</v>
      </c>
      <c r="N28" s="154" t="str">
        <f>IF(O28,"PT","")</f>
        <v/>
      </c>
      <c r="O28" s="479" t="b">
        <v>0</v>
      </c>
      <c r="P28" s="154" t="str">
        <f>IF(Q28,"PT","")</f>
        <v/>
      </c>
      <c r="Q28" s="479" t="b">
        <v>0</v>
      </c>
      <c r="R28" s="154" t="str">
        <f>IF(S28,"PT","")</f>
        <v/>
      </c>
      <c r="S28" s="479" t="b">
        <v>0</v>
      </c>
      <c r="U28" s="204"/>
    </row>
    <row r="29" spans="2:21" x14ac:dyDescent="0.2">
      <c r="B29" s="154" t="str">
        <f>IF(C29,"APPT","")</f>
        <v/>
      </c>
      <c r="C29" s="479" t="b">
        <v>0</v>
      </c>
      <c r="D29" s="154" t="str">
        <f>IF(E29,"APPT","")</f>
        <v/>
      </c>
      <c r="E29" s="479" t="b">
        <v>0</v>
      </c>
      <c r="F29" s="154" t="str">
        <f>IF(G29,"APPT","")</f>
        <v/>
      </c>
      <c r="G29" s="479" t="b">
        <v>0</v>
      </c>
      <c r="H29" s="154" t="str">
        <f>IF(I29,"APPT","")</f>
        <v/>
      </c>
      <c r="I29" s="479" t="b">
        <v>0</v>
      </c>
      <c r="J29" s="154" t="str">
        <f>IF(K29,"APPT","")</f>
        <v/>
      </c>
      <c r="K29" s="479" t="b">
        <v>0</v>
      </c>
      <c r="L29" s="154" t="str">
        <f>IF(M29,"APPT","")</f>
        <v/>
      </c>
      <c r="M29" s="479" t="b">
        <v>0</v>
      </c>
      <c r="N29" s="154" t="str">
        <f>IF(O29,"APPT","")</f>
        <v/>
      </c>
      <c r="O29" s="479" t="b">
        <v>0</v>
      </c>
      <c r="P29" s="154" t="str">
        <f>IF(Q29,"APPT","")</f>
        <v/>
      </c>
      <c r="Q29" s="479" t="b">
        <v>0</v>
      </c>
      <c r="R29" s="154" t="str">
        <f>IF(S29,"APPT","")</f>
        <v/>
      </c>
      <c r="S29" s="479" t="b">
        <v>0</v>
      </c>
      <c r="U29" s="204"/>
    </row>
    <row r="30" spans="2:21" x14ac:dyDescent="0.2">
      <c r="B30" s="154" t="str">
        <f>IF(C30,"NICU APPT","")</f>
        <v/>
      </c>
      <c r="C30" s="479" t="b">
        <v>0</v>
      </c>
      <c r="D30" s="154" t="str">
        <f>IF(E30,"NICU APPT","")</f>
        <v/>
      </c>
      <c r="E30" s="479" t="b">
        <v>0</v>
      </c>
      <c r="F30" s="154" t="str">
        <f>IF(G30,"NICU APPT","")</f>
        <v/>
      </c>
      <c r="G30" s="479" t="b">
        <v>0</v>
      </c>
      <c r="H30" s="154" t="str">
        <f>IF(I30,"NICU APPT","")</f>
        <v/>
      </c>
      <c r="I30" s="479" t="b">
        <v>0</v>
      </c>
      <c r="J30" s="154" t="str">
        <f>IF(K30,"NICU APPT","")</f>
        <v/>
      </c>
      <c r="K30" s="479" t="b">
        <v>0</v>
      </c>
      <c r="L30" s="154" t="str">
        <f>IF(M30,"NICU APPT","")</f>
        <v/>
      </c>
      <c r="M30" s="479" t="b">
        <v>0</v>
      </c>
      <c r="N30" s="154" t="str">
        <f>IF(O30,"NICU APPT","")</f>
        <v/>
      </c>
      <c r="O30" s="479" t="b">
        <v>0</v>
      </c>
      <c r="P30" s="154" t="str">
        <f>IF(Q30,"NICU APPT","")</f>
        <v/>
      </c>
      <c r="Q30" s="479" t="b">
        <v>0</v>
      </c>
      <c r="R30" s="154" t="str">
        <f>IF(S30,"NICU APPT","")</f>
        <v/>
      </c>
      <c r="S30" s="479" t="b">
        <v>0</v>
      </c>
      <c r="U30" s="204"/>
    </row>
    <row r="31" spans="2:21" x14ac:dyDescent="0.2">
      <c r="B31" s="154" t="str">
        <f>IF(C31,"BG","")</f>
        <v/>
      </c>
      <c r="C31" s="479" t="b">
        <v>0</v>
      </c>
      <c r="D31" s="154" t="str">
        <f>IF(E31,"BG","")</f>
        <v/>
      </c>
      <c r="E31" s="479" t="b">
        <v>0</v>
      </c>
      <c r="F31" s="154" t="str">
        <f>IF(G31,"BG","")</f>
        <v/>
      </c>
      <c r="G31" s="479" t="b">
        <v>0</v>
      </c>
      <c r="H31" s="154" t="str">
        <f>IF(I31,"BG","")</f>
        <v/>
      </c>
      <c r="I31" s="479" t="b">
        <v>0</v>
      </c>
      <c r="J31" s="154" t="str">
        <f>IF(K31,"BG","")</f>
        <v/>
      </c>
      <c r="K31" s="479" t="b">
        <v>0</v>
      </c>
      <c r="L31" s="154" t="str">
        <f>IF(M31,"BG","")</f>
        <v/>
      </c>
      <c r="M31" s="479" t="b">
        <v>0</v>
      </c>
      <c r="N31" s="154" t="str">
        <f>IF(O31,"BG","")</f>
        <v/>
      </c>
      <c r="O31" s="479" t="b">
        <v>0</v>
      </c>
      <c r="P31" s="154" t="str">
        <f>IF(Q31,"BG","")</f>
        <v/>
      </c>
      <c r="Q31" s="479" t="b">
        <v>0</v>
      </c>
      <c r="R31" s="154" t="str">
        <f>IF(S31,"BG","")</f>
        <v/>
      </c>
      <c r="S31" s="479" t="b">
        <v>0</v>
      </c>
      <c r="U31" s="204"/>
    </row>
    <row r="32" spans="2:21" x14ac:dyDescent="0.2">
      <c r="B32" s="154" t="str">
        <f>IF(C32,"antiAx","")</f>
        <v/>
      </c>
      <c r="C32" s="479" t="b">
        <v>0</v>
      </c>
      <c r="D32" s="154" t="str">
        <f>IF(E32,"antiAx","")</f>
        <v/>
      </c>
      <c r="E32" s="479" t="b">
        <v>0</v>
      </c>
      <c r="F32" s="154" t="str">
        <f>IF(G32,"antiAx","")</f>
        <v/>
      </c>
      <c r="G32" s="479" t="b">
        <v>0</v>
      </c>
      <c r="H32" s="154" t="str">
        <f>IF(I32,"antiAx","")</f>
        <v/>
      </c>
      <c r="I32" s="479" t="b">
        <v>0</v>
      </c>
      <c r="J32" s="154" t="str">
        <f>IF(K32,"antiAx","")</f>
        <v/>
      </c>
      <c r="K32" s="479" t="b">
        <v>0</v>
      </c>
      <c r="L32" s="154" t="str">
        <f>IF(M32,"antiAx","")</f>
        <v/>
      </c>
      <c r="M32" s="479" t="b">
        <v>0</v>
      </c>
      <c r="N32" s="154" t="str">
        <f>IF(O32,"antiAx","")</f>
        <v/>
      </c>
      <c r="O32" s="479" t="b">
        <v>0</v>
      </c>
      <c r="P32" s="154" t="str">
        <f>IF(Q32,"antiAx","")</f>
        <v/>
      </c>
      <c r="Q32" s="479" t="b">
        <v>0</v>
      </c>
      <c r="R32" s="154" t="str">
        <f>IF(S32,"antiAx","")</f>
        <v/>
      </c>
      <c r="S32" s="479" t="b">
        <v>0</v>
      </c>
      <c r="U32" s="204"/>
    </row>
    <row r="33" spans="2:21" x14ac:dyDescent="0.2">
      <c r="B33" s="154" t="str">
        <f>IF(C33,"BNP","")</f>
        <v/>
      </c>
      <c r="C33" s="479" t="b">
        <v>0</v>
      </c>
      <c r="D33" s="154" t="str">
        <f>IF(E33,"BNP","")</f>
        <v/>
      </c>
      <c r="E33" s="479" t="b">
        <v>0</v>
      </c>
      <c r="F33" s="154" t="str">
        <f>IF(G33,"BNP","")</f>
        <v/>
      </c>
      <c r="G33" s="479" t="b">
        <v>0</v>
      </c>
      <c r="H33" s="154" t="str">
        <f>IF(I33,"BNP","")</f>
        <v/>
      </c>
      <c r="I33" s="479" t="b">
        <v>0</v>
      </c>
      <c r="J33" s="154" t="str">
        <f>IF(K33,"BNP","")</f>
        <v/>
      </c>
      <c r="K33" s="479" t="b">
        <v>0</v>
      </c>
      <c r="L33" s="154" t="str">
        <f>IF(M33,"BNP","")</f>
        <v/>
      </c>
      <c r="M33" s="479" t="b">
        <v>0</v>
      </c>
      <c r="N33" s="154" t="str">
        <f>IF(O33,"BNP","")</f>
        <v/>
      </c>
      <c r="O33" s="479" t="b">
        <v>0</v>
      </c>
      <c r="P33" s="154" t="str">
        <f>IF(Q33,"BNP","")</f>
        <v/>
      </c>
      <c r="Q33" s="479" t="b">
        <v>0</v>
      </c>
      <c r="R33" s="154" t="str">
        <f>IF(S33,"BNP","")</f>
        <v/>
      </c>
      <c r="S33" s="479" t="b">
        <v>0</v>
      </c>
      <c r="U33" s="204"/>
    </row>
    <row r="34" spans="2:21" x14ac:dyDescent="0.2">
      <c r="B34" s="154" t="str">
        <f>IF(C34,"Troponine","")</f>
        <v/>
      </c>
      <c r="C34" s="479" t="b">
        <v>0</v>
      </c>
      <c r="D34" s="154" t="str">
        <f>IF(E34,"Troponine","")</f>
        <v/>
      </c>
      <c r="E34" s="479" t="b">
        <v>0</v>
      </c>
      <c r="F34" s="154" t="str">
        <f>IF(G34,"Troponine","")</f>
        <v/>
      </c>
      <c r="G34" s="479" t="b">
        <v>0</v>
      </c>
      <c r="H34" s="154" t="str">
        <f>IF(I34,"Troponine","")</f>
        <v/>
      </c>
      <c r="I34" s="479" t="b">
        <v>0</v>
      </c>
      <c r="J34" s="154" t="str">
        <f>IF(K34,"Troponine","")</f>
        <v/>
      </c>
      <c r="K34" s="479" t="b">
        <v>0</v>
      </c>
      <c r="L34" s="154" t="str">
        <f>IF(M34,"Troponine","")</f>
        <v/>
      </c>
      <c r="M34" s="479" t="b">
        <v>0</v>
      </c>
      <c r="N34" s="154" t="str">
        <f>IF(O34,"Troponine","")</f>
        <v/>
      </c>
      <c r="O34" s="479" t="b">
        <v>0</v>
      </c>
      <c r="P34" s="154" t="str">
        <f>IF(Q34,"Troponine","")</f>
        <v/>
      </c>
      <c r="Q34" s="479" t="b">
        <v>0</v>
      </c>
      <c r="R34" s="154" t="str">
        <f>IF(S34,"Troponine","")</f>
        <v/>
      </c>
      <c r="S34" s="479" t="b">
        <v>0</v>
      </c>
      <c r="U34" s="204"/>
    </row>
    <row r="35" spans="2:21" x14ac:dyDescent="0.2">
      <c r="B35" s="154" t="str">
        <f>IF(C35,"Coombs-test","")</f>
        <v/>
      </c>
      <c r="C35" s="479" t="b">
        <v>0</v>
      </c>
    </row>
    <row r="38" spans="2:21" x14ac:dyDescent="0.2">
      <c r="B38" s="154" t="s">
        <v>837</v>
      </c>
      <c r="D38" s="351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37"/>
    <col min="2" max="2" width="10.28515625" style="6" customWidth="1"/>
    <col min="3" max="3" width="19.7109375" style="37" customWidth="1"/>
    <col min="4" max="4" width="28.85546875" style="37" bestFit="1" customWidth="1"/>
    <col min="5" max="5" width="17.7109375" style="37" customWidth="1"/>
    <col min="6" max="7" width="18.7109375" style="37" customWidth="1"/>
    <col min="8" max="11" width="9.140625" style="37"/>
    <col min="12" max="21" width="9.140625" style="37" hidden="1" customWidth="1"/>
    <col min="22" max="22" width="0" style="37" hidden="1" customWidth="1"/>
    <col min="23" max="16384" width="9.140625" style="37"/>
  </cols>
  <sheetData>
    <row r="1" spans="1:25 4305:4305" x14ac:dyDescent="0.2">
      <c r="A1" s="358"/>
      <c r="J1" s="331"/>
      <c r="K1" s="331"/>
      <c r="L1" s="331" t="s">
        <v>717</v>
      </c>
      <c r="M1" s="331" t="s">
        <v>725</v>
      </c>
      <c r="N1" s="331" t="s">
        <v>718</v>
      </c>
      <c r="O1" s="331"/>
      <c r="P1" s="331"/>
      <c r="Q1" s="331"/>
      <c r="R1" s="331"/>
      <c r="S1" s="331" t="s">
        <v>726</v>
      </c>
      <c r="T1" s="331" t="s">
        <v>727</v>
      </c>
      <c r="U1" s="331"/>
      <c r="V1" s="331"/>
      <c r="W1" s="331"/>
      <c r="X1" s="331"/>
      <c r="Y1" s="121"/>
    </row>
    <row r="2" spans="1:25 4305:4305" ht="15" customHeight="1" x14ac:dyDescent="0.2">
      <c r="B2" s="113" t="str">
        <f>"Patient: "&amp;__2_AchterNaam&amp;", "&amp;__3_VoorNaam</f>
        <v xml:space="preserve">Patient: , </v>
      </c>
      <c r="C2" s="111"/>
      <c r="D2" s="95"/>
      <c r="E2" s="114"/>
      <c r="F2" s="95"/>
      <c r="G2" s="103"/>
      <c r="H2" s="38"/>
      <c r="I2" s="38"/>
      <c r="J2" s="331"/>
      <c r="K2" s="331"/>
      <c r="L2" s="331">
        <v>0</v>
      </c>
      <c r="M2" s="331">
        <v>40</v>
      </c>
      <c r="N2" s="331">
        <v>3.5</v>
      </c>
      <c r="O2" s="331">
        <v>0</v>
      </c>
      <c r="P2" s="331">
        <v>3.5</v>
      </c>
      <c r="Q2" s="331">
        <v>51</v>
      </c>
      <c r="R2" s="331"/>
      <c r="S2" s="331">
        <v>1</v>
      </c>
      <c r="T2" s="331">
        <v>1</v>
      </c>
      <c r="U2" s="331">
        <v>1</v>
      </c>
      <c r="V2" s="331"/>
      <c r="W2" s="331"/>
      <c r="X2" s="331"/>
      <c r="Y2" s="121"/>
      <c r="FIO2" s="37">
        <v>30</v>
      </c>
    </row>
    <row r="3" spans="1:25 4305:4305" ht="15" customHeight="1" x14ac:dyDescent="0.2">
      <c r="B3" s="113" t="str">
        <f>"Geb datum.: "</f>
        <v xml:space="preserve">Geb datum.: </v>
      </c>
      <c r="C3" s="124">
        <f>__4_GebDatum</f>
        <v>1462</v>
      </c>
      <c r="D3" s="95"/>
      <c r="E3" s="114"/>
      <c r="F3" s="108"/>
      <c r="G3" s="103"/>
      <c r="H3" s="38"/>
      <c r="I3" s="38"/>
      <c r="J3" s="331"/>
      <c r="K3" s="331"/>
      <c r="L3" s="331">
        <v>1</v>
      </c>
      <c r="M3" s="331">
        <v>30</v>
      </c>
      <c r="N3" s="331">
        <v>4.5</v>
      </c>
      <c r="O3" s="331">
        <v>1</v>
      </c>
      <c r="P3" s="331">
        <v>4.2</v>
      </c>
      <c r="Q3" s="331">
        <v>54</v>
      </c>
      <c r="R3" s="331"/>
      <c r="S3" s="331">
        <v>2</v>
      </c>
      <c r="T3" s="331">
        <v>2</v>
      </c>
      <c r="U3" s="331">
        <v>2</v>
      </c>
      <c r="V3" s="331"/>
      <c r="W3" s="331"/>
      <c r="X3" s="331"/>
      <c r="Y3" s="121"/>
    </row>
    <row r="4" spans="1:25 4305:4305" ht="15.75" customHeight="1" x14ac:dyDescent="0.2">
      <c r="B4" s="107"/>
      <c r="C4" s="110" t="s">
        <v>614</v>
      </c>
      <c r="D4" s="110" t="s">
        <v>615</v>
      </c>
      <c r="E4" s="110" t="s">
        <v>616</v>
      </c>
      <c r="F4" s="110"/>
      <c r="G4" s="110"/>
      <c r="H4" s="38"/>
      <c r="J4" s="332"/>
      <c r="K4" s="332"/>
      <c r="L4" s="331">
        <v>2</v>
      </c>
      <c r="M4" s="331">
        <v>25</v>
      </c>
      <c r="N4" s="331">
        <v>4.5</v>
      </c>
      <c r="O4" s="331">
        <v>2</v>
      </c>
      <c r="P4" s="331">
        <v>5</v>
      </c>
      <c r="Q4" s="331">
        <v>57</v>
      </c>
      <c r="R4" s="331"/>
      <c r="S4" s="331">
        <v>3</v>
      </c>
      <c r="T4" s="331">
        <v>3</v>
      </c>
      <c r="U4" s="331">
        <v>3</v>
      </c>
      <c r="V4" s="331"/>
      <c r="W4" s="331"/>
      <c r="X4" s="331"/>
      <c r="Y4" s="121"/>
    </row>
    <row r="5" spans="1:25 4305:4305" ht="15" customHeight="1" x14ac:dyDescent="0.2">
      <c r="B5" s="107"/>
      <c r="C5" s="110">
        <f>_Pat_GestWeken</f>
        <v>0</v>
      </c>
      <c r="D5" s="110">
        <f>_Pat_GestDagen</f>
        <v>0</v>
      </c>
      <c r="E5" s="110">
        <f>(_Pat_Gewicht/10)</f>
        <v>0</v>
      </c>
      <c r="F5" s="110"/>
      <c r="G5" s="110"/>
      <c r="H5" s="38"/>
      <c r="J5" s="332"/>
      <c r="K5" s="332"/>
      <c r="L5" s="331">
        <v>3</v>
      </c>
      <c r="M5" s="331">
        <v>25</v>
      </c>
      <c r="N5" s="331">
        <v>5</v>
      </c>
      <c r="O5" s="331">
        <v>3</v>
      </c>
      <c r="P5" s="331">
        <v>5.7</v>
      </c>
      <c r="Q5" s="331">
        <v>60</v>
      </c>
      <c r="R5" s="331"/>
      <c r="S5" s="331">
        <v>4</v>
      </c>
      <c r="T5" s="331">
        <v>3</v>
      </c>
      <c r="U5" s="331"/>
      <c r="V5" s="331"/>
      <c r="W5" s="331"/>
      <c r="X5" s="331"/>
      <c r="Y5" s="121"/>
    </row>
    <row r="6" spans="1:25 4305:4305" ht="15" customHeight="1" thickBot="1" x14ac:dyDescent="0.25">
      <c r="A6" s="358"/>
      <c r="B6" s="18"/>
      <c r="C6" s="112"/>
      <c r="D6" s="112"/>
      <c r="E6" s="112"/>
      <c r="F6" s="112"/>
      <c r="G6" s="112"/>
      <c r="H6" s="38"/>
      <c r="J6" s="332"/>
      <c r="K6" s="332"/>
      <c r="L6" s="331">
        <v>4</v>
      </c>
      <c r="M6" s="331">
        <v>25</v>
      </c>
      <c r="N6" s="331">
        <v>5</v>
      </c>
      <c r="O6" s="331">
        <v>4</v>
      </c>
      <c r="P6" s="331">
        <v>6.5</v>
      </c>
      <c r="Q6" s="331">
        <v>63</v>
      </c>
      <c r="R6" s="331"/>
      <c r="S6" s="331">
        <v>5</v>
      </c>
      <c r="T6" s="331">
        <v>5</v>
      </c>
      <c r="U6" s="331">
        <v>5</v>
      </c>
      <c r="V6" s="331"/>
      <c r="W6" s="331"/>
      <c r="X6" s="331"/>
      <c r="Y6" s="121"/>
    </row>
    <row r="7" spans="1:25 4305:4305" ht="20.100000000000001" customHeight="1" x14ac:dyDescent="0.2">
      <c r="B7" s="107" t="s">
        <v>307</v>
      </c>
      <c r="C7" s="115" t="s">
        <v>53</v>
      </c>
      <c r="D7" s="116" t="str">
        <f>"Maat: "&amp;IF((_Pat_Gewicht/10)&lt;1,2.5,IF(AND((_Pat_Gewicht/10)&gt;=1,(_Pat_Gewicht/10)&lt;2),3,3.5))</f>
        <v>Maat: 2.5</v>
      </c>
      <c r="E7" s="117"/>
      <c r="F7" s="117"/>
      <c r="G7" s="131"/>
      <c r="H7" s="38"/>
      <c r="I7" s="38"/>
      <c r="J7" s="331"/>
      <c r="K7" s="331"/>
      <c r="L7" s="331">
        <v>5</v>
      </c>
      <c r="M7" s="331">
        <v>25</v>
      </c>
      <c r="N7" s="331">
        <v>5.5</v>
      </c>
      <c r="O7" s="331">
        <v>5</v>
      </c>
      <c r="P7" s="331">
        <v>7</v>
      </c>
      <c r="Q7" s="331">
        <v>65</v>
      </c>
      <c r="R7" s="331"/>
      <c r="S7" s="331">
        <v>6</v>
      </c>
      <c r="T7" s="331">
        <v>5</v>
      </c>
      <c r="U7" s="331"/>
      <c r="V7" s="331"/>
      <c r="W7" s="331"/>
      <c r="X7" s="331"/>
      <c r="Y7" s="121"/>
    </row>
    <row r="8" spans="1:25 4305:4305" ht="20.100000000000001" customHeight="1" x14ac:dyDescent="0.2">
      <c r="B8" s="107"/>
      <c r="C8" s="106"/>
      <c r="D8" s="39" t="str">
        <f>"Nasaal: "&amp;((_Pat_Gewicht/10)+6)*1.2</f>
        <v>Nasaal: 7.2</v>
      </c>
      <c r="E8" s="38"/>
      <c r="F8" s="38"/>
      <c r="G8" s="132"/>
      <c r="H8" s="38"/>
      <c r="I8" s="38"/>
      <c r="J8" s="331"/>
      <c r="K8" s="331"/>
      <c r="L8" s="331">
        <v>6</v>
      </c>
      <c r="M8" s="331">
        <v>20</v>
      </c>
      <c r="N8" s="331">
        <v>5.5</v>
      </c>
      <c r="O8" s="331">
        <v>6</v>
      </c>
      <c r="P8" s="331">
        <v>7.7</v>
      </c>
      <c r="Q8" s="331">
        <v>67</v>
      </c>
      <c r="R8" s="331"/>
      <c r="S8" s="331">
        <v>7</v>
      </c>
      <c r="T8" s="331">
        <v>7</v>
      </c>
      <c r="U8" s="331">
        <v>7</v>
      </c>
      <c r="V8" s="331"/>
      <c r="W8" s="331"/>
      <c r="X8" s="331"/>
      <c r="Y8" s="121"/>
    </row>
    <row r="9" spans="1:25 4305:4305" ht="20.100000000000001" customHeight="1" x14ac:dyDescent="0.2">
      <c r="B9" s="107"/>
      <c r="C9" s="106"/>
      <c r="D9" s="39" t="str">
        <f>"Oraal: "&amp;((_Pat_Gewicht/10)+6)</f>
        <v>Oraal: 6</v>
      </c>
      <c r="E9" s="38"/>
      <c r="F9" s="38"/>
      <c r="G9" s="132"/>
      <c r="H9" s="38"/>
      <c r="I9" s="38"/>
      <c r="J9" s="331"/>
      <c r="K9" s="331"/>
      <c r="L9" s="331">
        <v>7</v>
      </c>
      <c r="M9" s="331">
        <v>20</v>
      </c>
      <c r="N9" s="331">
        <v>6</v>
      </c>
      <c r="O9" s="331">
        <v>7</v>
      </c>
      <c r="P9" s="331">
        <v>8.1999999999999993</v>
      </c>
      <c r="Q9" s="331">
        <v>69</v>
      </c>
      <c r="R9" s="331"/>
      <c r="S9" s="331">
        <v>8</v>
      </c>
      <c r="T9" s="331">
        <v>7</v>
      </c>
      <c r="U9" s="331"/>
      <c r="V9" s="331"/>
      <c r="W9" s="331"/>
      <c r="X9" s="331"/>
      <c r="Y9" s="121"/>
    </row>
    <row r="10" spans="1:25 4305:4305" ht="20.100000000000001" customHeight="1" x14ac:dyDescent="0.2">
      <c r="B10" s="107"/>
      <c r="C10" s="106" t="s">
        <v>1006</v>
      </c>
      <c r="D10" s="442">
        <f>(1.5*(_Pat_Gewicht/10))+5.5</f>
        <v>5.5</v>
      </c>
      <c r="E10" s="38"/>
      <c r="F10" s="38"/>
      <c r="G10" s="132"/>
      <c r="H10" s="38"/>
      <c r="I10" s="38"/>
      <c r="J10" s="331"/>
      <c r="K10" s="331"/>
      <c r="L10" s="331"/>
      <c r="M10" s="331"/>
      <c r="N10" s="331"/>
      <c r="O10" s="331"/>
      <c r="P10" s="331"/>
      <c r="Q10" s="331"/>
      <c r="R10" s="331"/>
      <c r="S10" s="331"/>
      <c r="T10" s="331"/>
      <c r="U10" s="331"/>
      <c r="V10" s="331"/>
      <c r="W10" s="331"/>
      <c r="X10" s="331"/>
      <c r="Y10" s="121"/>
    </row>
    <row r="11" spans="1:25 4305:4305" ht="20.100000000000001" customHeight="1" x14ac:dyDescent="0.2">
      <c r="B11" s="107"/>
      <c r="C11" s="106" t="s">
        <v>1007</v>
      </c>
      <c r="D11" s="442">
        <f>(4*(_Pat_Gewicht/10))+7</f>
        <v>7</v>
      </c>
      <c r="E11" s="38"/>
      <c r="F11" s="38"/>
      <c r="G11" s="132"/>
      <c r="H11" s="38"/>
      <c r="I11" s="38"/>
      <c r="J11" s="331"/>
      <c r="K11" s="331"/>
      <c r="L11" s="331"/>
      <c r="M11" s="331"/>
      <c r="N11" s="331"/>
      <c r="O11" s="331"/>
      <c r="P11" s="331"/>
      <c r="Q11" s="331"/>
      <c r="R11" s="331"/>
      <c r="S11" s="331"/>
      <c r="T11" s="331"/>
      <c r="U11" s="331"/>
      <c r="V11" s="331"/>
      <c r="W11" s="331"/>
      <c r="X11" s="331"/>
      <c r="Y11" s="121"/>
    </row>
    <row r="12" spans="1:25 4305:4305" ht="20.100000000000001" customHeight="1" x14ac:dyDescent="0.2">
      <c r="B12" s="107"/>
      <c r="C12" s="106" t="s">
        <v>54</v>
      </c>
      <c r="D12" s="39" t="e">
        <f>IF(ROUND((E5)*4,0)&gt;150,150,VLOOKUP(ROUND(E5*4,0),S2:T347,2))&amp;" Joules Asynchroon"</f>
        <v>#N/A</v>
      </c>
      <c r="E12" s="38"/>
      <c r="F12" s="38"/>
      <c r="G12" s="132" t="s">
        <v>0</v>
      </c>
      <c r="H12" s="38"/>
      <c r="I12" s="38"/>
      <c r="J12" s="331"/>
      <c r="K12" s="331"/>
      <c r="L12" s="331">
        <v>9</v>
      </c>
      <c r="M12" s="331">
        <v>20</v>
      </c>
      <c r="N12" s="331">
        <v>6.5</v>
      </c>
      <c r="O12" s="331">
        <v>9</v>
      </c>
      <c r="P12" s="331">
        <v>9</v>
      </c>
      <c r="Q12" s="331">
        <v>72</v>
      </c>
      <c r="R12" s="331"/>
      <c r="S12" s="331">
        <v>10</v>
      </c>
      <c r="T12" s="331">
        <v>10</v>
      </c>
      <c r="U12" s="331">
        <v>10</v>
      </c>
      <c r="V12" s="331"/>
      <c r="W12" s="331"/>
      <c r="X12" s="331"/>
      <c r="Y12" s="121"/>
    </row>
    <row r="13" spans="1:25 4305:4305" ht="20.100000000000001" customHeight="1" x14ac:dyDescent="0.2">
      <c r="B13" s="107"/>
      <c r="C13" s="106" t="s">
        <v>118</v>
      </c>
      <c r="D13" s="39" t="str">
        <f>IF(OR(ROUND(0.01*(E5),2)&gt;1,C5&gt;=18),"1 mg iv",ROUND(0.01*(E5),2)&amp;" mg iv")</f>
        <v>0 mg iv</v>
      </c>
      <c r="E13" s="38" t="str">
        <f>"= "&amp;IF(ROUND(0.01*(E5),2)&gt;1,"1 ml van 1mg = 10 ml (1:10.000)",ROUND(0.1*(E5),2)&amp;" ml van 1mg = 10 ml (1:10.000)")</f>
        <v>= 0 ml van 1mg = 10 ml (1:10.000)</v>
      </c>
      <c r="F13" s="38"/>
      <c r="G13" s="132" t="s">
        <v>1</v>
      </c>
      <c r="H13" s="38"/>
      <c r="I13" s="38"/>
      <c r="J13" s="331"/>
      <c r="K13" s="331"/>
      <c r="L13" s="331">
        <v>10</v>
      </c>
      <c r="M13" s="331">
        <v>20</v>
      </c>
      <c r="N13" s="331">
        <v>6.5</v>
      </c>
      <c r="O13" s="331">
        <v>10</v>
      </c>
      <c r="P13" s="331">
        <v>9.3000000000000007</v>
      </c>
      <c r="Q13" s="331">
        <v>73</v>
      </c>
      <c r="R13" s="331"/>
      <c r="S13" s="331">
        <v>11</v>
      </c>
      <c r="T13" s="331">
        <v>10</v>
      </c>
      <c r="U13" s="331"/>
      <c r="V13" s="331"/>
      <c r="W13" s="331"/>
      <c r="X13" s="331"/>
      <c r="Y13" s="121"/>
    </row>
    <row r="14" spans="1:25 4305:4305" ht="20.100000000000001" customHeight="1" x14ac:dyDescent="0.2">
      <c r="B14" s="107"/>
      <c r="C14" s="106" t="s">
        <v>530</v>
      </c>
      <c r="D14" s="39" t="str">
        <f>IF(0.2*E5&lt;=25,0.2*E5&amp;" gram iv","25 gram iv")</f>
        <v>0 gram iv</v>
      </c>
      <c r="E14" s="38" t="str">
        <f>"="&amp;" "&amp;IF(2*E5&lt;=250,ROUND(2*E5,2)&amp;" ml Glucose 10%","250 ml Glucose 10%")</f>
        <v>= 0 ml Glucose 10%</v>
      </c>
      <c r="F14" s="38"/>
      <c r="G14" s="132" t="s">
        <v>3</v>
      </c>
      <c r="H14" s="38"/>
      <c r="I14" s="38"/>
      <c r="J14" s="331"/>
      <c r="K14" s="331"/>
      <c r="L14" s="331">
        <v>11</v>
      </c>
      <c r="M14" s="331">
        <v>20</v>
      </c>
      <c r="N14" s="331">
        <v>7</v>
      </c>
      <c r="O14" s="331">
        <v>11</v>
      </c>
      <c r="P14" s="331">
        <v>9.5</v>
      </c>
      <c r="Q14" s="331">
        <v>74</v>
      </c>
      <c r="R14" s="331"/>
      <c r="S14" s="331">
        <v>12</v>
      </c>
      <c r="T14" s="331">
        <v>10</v>
      </c>
      <c r="U14" s="331"/>
      <c r="V14" s="331"/>
      <c r="W14" s="331"/>
      <c r="X14" s="331"/>
      <c r="Y14" s="121"/>
    </row>
    <row r="15" spans="1:25 4305:4305" ht="20.100000000000001" customHeight="1" thickBot="1" x14ac:dyDescent="0.25">
      <c r="B15" s="107"/>
      <c r="C15" s="118" t="s">
        <v>719</v>
      </c>
      <c r="D15" s="119" t="str">
        <f>IF(ROUND(20*E5/10,0)*10&gt;500,500,ROUND(20*E5/10,0)*10)&amp;" ml NaCl 0,9% iv per bolus"</f>
        <v>0 ml NaCl 0,9% iv per bolus</v>
      </c>
      <c r="E15" s="120"/>
      <c r="F15" s="120"/>
      <c r="G15" s="133" t="s">
        <v>4</v>
      </c>
      <c r="H15" s="38"/>
      <c r="I15" s="38"/>
      <c r="J15" s="331"/>
      <c r="K15" s="331"/>
      <c r="L15" s="331">
        <v>12</v>
      </c>
      <c r="M15" s="331">
        <v>15</v>
      </c>
      <c r="N15" s="331">
        <v>7</v>
      </c>
      <c r="O15" s="331">
        <v>12</v>
      </c>
      <c r="P15" s="331">
        <v>10</v>
      </c>
      <c r="Q15" s="331">
        <v>76</v>
      </c>
      <c r="R15" s="331"/>
      <c r="S15" s="331">
        <v>13</v>
      </c>
      <c r="T15" s="331">
        <v>10</v>
      </c>
      <c r="U15" s="331"/>
      <c r="V15" s="331"/>
      <c r="W15" s="331"/>
      <c r="X15" s="331"/>
      <c r="Y15" s="121"/>
    </row>
    <row r="16" spans="1:25 4305:4305" ht="20.100000000000001" customHeight="1" thickBot="1" x14ac:dyDescent="0.25">
      <c r="B16" s="18"/>
      <c r="C16" s="38"/>
      <c r="D16" s="39"/>
      <c r="E16" s="38"/>
      <c r="F16" s="38"/>
      <c r="G16" s="132"/>
      <c r="H16" s="38"/>
      <c r="I16" s="38"/>
      <c r="J16" s="331"/>
      <c r="K16" s="331"/>
      <c r="L16" s="331">
        <v>16</v>
      </c>
      <c r="M16" s="331">
        <v>15</v>
      </c>
      <c r="N16" s="331">
        <v>7</v>
      </c>
      <c r="O16" s="331"/>
      <c r="P16" s="331"/>
      <c r="Q16" s="331"/>
      <c r="R16" s="331"/>
      <c r="S16" s="331">
        <v>17</v>
      </c>
      <c r="T16" s="331">
        <v>20</v>
      </c>
      <c r="U16" s="331"/>
      <c r="V16" s="331"/>
      <c r="W16" s="331"/>
      <c r="X16" s="331"/>
      <c r="Y16" s="121"/>
    </row>
    <row r="17" spans="2:26" ht="20.100000000000001" customHeight="1" x14ac:dyDescent="0.2">
      <c r="B17" s="107" t="s">
        <v>373</v>
      </c>
      <c r="C17" s="115" t="s">
        <v>720</v>
      </c>
      <c r="D17" s="116" t="str">
        <f>IF(0.1*E5&gt;2,"2 mg iv",0.1*E5&amp;" mg iv")</f>
        <v>0 mg iv</v>
      </c>
      <c r="E17" s="117" t="str">
        <f>"= "&amp;IF(0.1*E5&gt;2,"0,1 ml van een 10 mg/ml oplossing",ROUND(0.1*E5,2)&amp;" ml van een 10 mg/ml oplossing")</f>
        <v>= 0 ml van een 10 mg/ml oplossing</v>
      </c>
      <c r="F17" s="117"/>
      <c r="G17" s="131" t="s">
        <v>617</v>
      </c>
      <c r="H17" s="38"/>
      <c r="I17" s="38"/>
      <c r="J17" s="331"/>
      <c r="K17" s="331"/>
      <c r="L17" s="331">
        <v>17</v>
      </c>
      <c r="M17" s="331">
        <v>15</v>
      </c>
      <c r="N17" s="331">
        <v>7</v>
      </c>
      <c r="O17" s="331"/>
      <c r="P17" s="331"/>
      <c r="Q17" s="331"/>
      <c r="R17" s="331"/>
      <c r="S17" s="331">
        <v>18</v>
      </c>
      <c r="T17" s="331">
        <v>20</v>
      </c>
      <c r="U17" s="331"/>
      <c r="V17" s="331"/>
      <c r="W17" s="331"/>
      <c r="X17" s="331"/>
      <c r="Y17" s="121"/>
    </row>
    <row r="18" spans="2:26" ht="15.75" customHeight="1" thickBot="1" x14ac:dyDescent="0.25">
      <c r="B18" s="18"/>
      <c r="C18" s="105"/>
      <c r="D18" s="39"/>
      <c r="E18" s="443"/>
      <c r="F18" s="443"/>
      <c r="G18" s="132"/>
      <c r="H18" s="109"/>
      <c r="I18" s="109"/>
      <c r="J18" s="333"/>
      <c r="K18" s="331"/>
      <c r="L18" s="331">
        <v>18</v>
      </c>
      <c r="M18" s="331">
        <v>15</v>
      </c>
      <c r="N18" s="331">
        <v>7</v>
      </c>
      <c r="O18" s="331"/>
      <c r="P18" s="331"/>
      <c r="Q18" s="331"/>
      <c r="R18" s="331"/>
      <c r="S18" s="331">
        <v>19</v>
      </c>
      <c r="T18" s="331">
        <v>20</v>
      </c>
      <c r="U18" s="331"/>
      <c r="V18" s="331"/>
      <c r="W18" s="331"/>
      <c r="X18" s="331"/>
      <c r="Y18" s="121"/>
    </row>
    <row r="19" spans="2:26" ht="20.100000000000001" customHeight="1" x14ac:dyDescent="0.2">
      <c r="B19" s="107" t="s">
        <v>261</v>
      </c>
      <c r="C19" s="115" t="s">
        <v>721</v>
      </c>
      <c r="D19" s="116" t="str">
        <f>0.1*E5&amp;" mg iv"</f>
        <v>0 mg iv</v>
      </c>
      <c r="E19" s="117" t="str">
        <f>"= "&amp;ROUND((0.1*E5),2)&amp;" ml van Anexate 0,1 mg/ml"</f>
        <v>= 0 ml van Anexate 0,1 mg/ml</v>
      </c>
      <c r="F19" s="117"/>
      <c r="G19" s="131"/>
      <c r="H19" s="109"/>
      <c r="I19" s="109"/>
      <c r="J19" s="333"/>
      <c r="K19" s="331"/>
      <c r="L19" s="331"/>
      <c r="M19" s="331"/>
      <c r="N19" s="331"/>
      <c r="O19" s="331"/>
      <c r="P19" s="331"/>
      <c r="Q19" s="331"/>
      <c r="R19" s="331"/>
      <c r="S19" s="331">
        <v>20</v>
      </c>
      <c r="T19" s="331">
        <v>20</v>
      </c>
      <c r="U19" s="331">
        <v>20</v>
      </c>
      <c r="V19" s="331"/>
      <c r="W19" s="331"/>
      <c r="X19" s="331"/>
      <c r="Y19" s="121"/>
    </row>
    <row r="20" spans="2:26" ht="20.100000000000001" customHeight="1" x14ac:dyDescent="0.2">
      <c r="B20" s="107"/>
      <c r="C20" s="106" t="s">
        <v>722</v>
      </c>
      <c r="D20" s="39" t="str">
        <f>IF(0.01*E5&gt;0.4,"0,4 mg iv",0.01*E5&amp;" mg iv")</f>
        <v>0 mg iv</v>
      </c>
      <c r="E20" s="950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50"/>
      <c r="G20" s="132" t="s">
        <v>9</v>
      </c>
      <c r="H20" s="38"/>
      <c r="I20" s="38"/>
      <c r="J20" s="331"/>
      <c r="K20" s="331"/>
      <c r="L20" s="331"/>
      <c r="M20" s="331"/>
      <c r="N20" s="331"/>
      <c r="O20" s="331"/>
      <c r="P20" s="331"/>
      <c r="Q20" s="331"/>
      <c r="R20" s="331"/>
      <c r="S20" s="331">
        <v>21</v>
      </c>
      <c r="T20" s="331">
        <v>30</v>
      </c>
      <c r="U20" s="331"/>
      <c r="V20" s="331"/>
      <c r="W20" s="331"/>
      <c r="X20" s="331"/>
      <c r="Y20" s="121"/>
    </row>
    <row r="21" spans="2:26" ht="20.100000000000001" customHeight="1" thickBot="1" x14ac:dyDescent="0.25">
      <c r="B21" s="107"/>
      <c r="C21" s="118"/>
      <c r="D21" s="119"/>
      <c r="E21" s="951"/>
      <c r="F21" s="951"/>
      <c r="G21" s="133"/>
      <c r="H21" s="38"/>
      <c r="I21" s="38"/>
      <c r="J21" s="331"/>
      <c r="K21" s="331"/>
      <c r="L21" s="331" t="s">
        <v>1004</v>
      </c>
      <c r="M21" s="331" t="s">
        <v>1005</v>
      </c>
      <c r="N21" s="331" t="s">
        <v>718</v>
      </c>
      <c r="O21" s="331"/>
      <c r="P21" s="331"/>
      <c r="Q21" s="331"/>
      <c r="R21" s="331"/>
      <c r="S21" s="331">
        <v>22</v>
      </c>
      <c r="T21" s="331">
        <v>30</v>
      </c>
      <c r="U21" s="331"/>
      <c r="V21" s="331"/>
      <c r="W21" s="331"/>
      <c r="X21" s="331"/>
      <c r="Y21" s="121"/>
    </row>
    <row r="22" spans="2:26" ht="20.100000000000001" customHeight="1" thickBot="1" x14ac:dyDescent="0.25">
      <c r="B22" s="18"/>
      <c r="C22" s="105"/>
      <c r="D22" s="39"/>
      <c r="E22" s="443"/>
      <c r="F22" s="443"/>
      <c r="G22" s="132"/>
      <c r="H22" s="38"/>
      <c r="I22" s="38"/>
      <c r="J22" s="331"/>
      <c r="K22" s="331"/>
      <c r="L22" s="331">
        <v>0</v>
      </c>
      <c r="M22" s="331">
        <v>1</v>
      </c>
      <c r="N22" s="331">
        <v>2.5</v>
      </c>
      <c r="O22" s="331"/>
      <c r="P22" s="331"/>
      <c r="Q22" s="331"/>
      <c r="R22" s="331"/>
      <c r="S22" s="331">
        <v>23</v>
      </c>
      <c r="T22" s="331">
        <v>30</v>
      </c>
      <c r="U22" s="331"/>
      <c r="V22" s="331"/>
      <c r="W22" s="331"/>
      <c r="X22" s="331"/>
      <c r="Y22" s="121"/>
    </row>
    <row r="23" spans="2:26" ht="20.100000000000001" customHeight="1" x14ac:dyDescent="0.2">
      <c r="B23" s="107" t="s">
        <v>262</v>
      </c>
      <c r="C23" s="115" t="s">
        <v>711</v>
      </c>
      <c r="D23" s="444" t="str">
        <f>CONCATENATE(0.0144*(_Pat_Gewicht/10), " mg in 12 ml glucose 10%")</f>
        <v>0 mg in 12 ml glucose 10%</v>
      </c>
      <c r="E23" s="117" t="s">
        <v>1008</v>
      </c>
      <c r="F23" s="117"/>
      <c r="G23" s="131" t="s">
        <v>618</v>
      </c>
      <c r="H23" s="38"/>
      <c r="I23" s="38"/>
      <c r="J23" s="331"/>
      <c r="K23" s="331"/>
      <c r="L23" s="331">
        <v>1</v>
      </c>
      <c r="M23" s="331">
        <v>2</v>
      </c>
      <c r="N23" s="331">
        <v>3</v>
      </c>
      <c r="O23" s="331"/>
      <c r="P23" s="331"/>
      <c r="Q23" s="331"/>
      <c r="R23" s="331"/>
      <c r="S23" s="331">
        <v>24</v>
      </c>
      <c r="T23" s="331">
        <v>30</v>
      </c>
      <c r="U23" s="331"/>
      <c r="V23" s="331"/>
      <c r="W23" s="331"/>
      <c r="X23" s="331"/>
      <c r="Y23" s="121"/>
    </row>
    <row r="24" spans="2:26" ht="20.100000000000001" customHeight="1" x14ac:dyDescent="0.25">
      <c r="B24" s="107"/>
      <c r="C24" s="106" t="s">
        <v>723</v>
      </c>
      <c r="D24" s="39" t="str">
        <f>CONCATENATE(7.2*(_Pat_Gewicht/10), " mg in 12 ml glucose 10%")</f>
        <v>0 mg in 12 ml glucose 10%</v>
      </c>
      <c r="E24" s="38" t="s">
        <v>1009</v>
      </c>
      <c r="F24" s="38"/>
      <c r="G24" s="132" t="s">
        <v>322</v>
      </c>
      <c r="H24" s="38"/>
      <c r="I24" s="38"/>
      <c r="J24" s="336"/>
      <c r="K24" s="331"/>
      <c r="L24" s="331">
        <v>2</v>
      </c>
      <c r="M24" s="331">
        <v>150</v>
      </c>
      <c r="N24" s="331">
        <v>3.5</v>
      </c>
      <c r="O24" s="331"/>
      <c r="P24" s="331"/>
      <c r="Q24" s="331"/>
      <c r="R24" s="331"/>
      <c r="S24" s="331">
        <v>25</v>
      </c>
      <c r="T24" s="331">
        <v>30</v>
      </c>
      <c r="U24" s="331"/>
      <c r="V24" s="331"/>
      <c r="W24" s="331"/>
      <c r="X24" s="331"/>
      <c r="Y24" s="121"/>
    </row>
    <row r="25" spans="2:26" ht="20.100000000000001" customHeight="1" thickBot="1" x14ac:dyDescent="0.25">
      <c r="B25" s="107"/>
      <c r="C25" s="118" t="s">
        <v>724</v>
      </c>
      <c r="D25" s="119" t="str">
        <f>CONCATENATE(0.072*(_Pat_Gewicht/10), " mg in 12 ml glucose 10%")</f>
        <v>0 mg in 12 ml glucose 10%</v>
      </c>
      <c r="E25" s="445" t="s">
        <v>1010</v>
      </c>
      <c r="F25" s="120"/>
      <c r="G25" s="133" t="s">
        <v>382</v>
      </c>
      <c r="H25" s="38"/>
      <c r="I25" s="38"/>
      <c r="J25" s="331"/>
      <c r="K25" s="331"/>
      <c r="L25" s="331"/>
      <c r="M25" s="331"/>
      <c r="N25" s="331"/>
      <c r="O25" s="331"/>
      <c r="P25" s="331"/>
      <c r="Q25" s="331"/>
      <c r="R25" s="331"/>
      <c r="S25" s="331">
        <v>29</v>
      </c>
      <c r="T25" s="331">
        <v>30</v>
      </c>
      <c r="U25" s="331"/>
      <c r="V25" s="331"/>
      <c r="W25" s="331"/>
      <c r="X25" s="331"/>
      <c r="Y25" s="121"/>
    </row>
    <row r="26" spans="2:26" ht="20.100000000000001" customHeight="1" thickBot="1" x14ac:dyDescent="0.25">
      <c r="B26" s="18"/>
      <c r="C26" s="38"/>
      <c r="D26" s="39"/>
      <c r="E26" s="38"/>
      <c r="F26" s="38"/>
      <c r="G26" s="132"/>
      <c r="H26" s="38"/>
      <c r="I26" s="38"/>
      <c r="J26" s="331"/>
      <c r="K26" s="331"/>
      <c r="L26" s="331"/>
      <c r="M26" s="331"/>
      <c r="N26" s="331"/>
      <c r="O26" s="331"/>
      <c r="P26" s="331"/>
      <c r="Q26" s="331"/>
      <c r="R26" s="331"/>
      <c r="S26" s="331">
        <v>32</v>
      </c>
      <c r="T26" s="331">
        <v>50</v>
      </c>
      <c r="U26" s="331"/>
      <c r="V26" s="331"/>
      <c r="W26" s="331"/>
      <c r="X26" s="331"/>
      <c r="Y26" s="121"/>
    </row>
    <row r="27" spans="2:26" ht="26.25" thickBot="1" x14ac:dyDescent="0.25">
      <c r="B27" s="453" t="s">
        <v>85</v>
      </c>
      <c r="C27" s="449" t="s">
        <v>264</v>
      </c>
      <c r="D27" s="447" t="str">
        <f>CONCATENATE(0.1*(_Pat_Gewicht/10), " mg")</f>
        <v>0 mg</v>
      </c>
      <c r="E27" s="448" t="str">
        <f>"= "&amp;0.02*(_Pat_Gewicht/10)&amp;" ml van Midazolam 5mg/ml oplossing"</f>
        <v>= 0 ml van Midazolam 5mg/ml oplossing</v>
      </c>
      <c r="F27" s="448"/>
      <c r="G27" s="454"/>
      <c r="H27" s="38"/>
      <c r="I27" s="38"/>
      <c r="J27" s="331"/>
      <c r="K27" s="331"/>
      <c r="L27" s="331"/>
      <c r="M27" s="331"/>
      <c r="N27" s="331"/>
      <c r="O27" s="331"/>
      <c r="P27" s="331"/>
      <c r="Q27" s="331"/>
      <c r="R27" s="331"/>
      <c r="S27" s="331">
        <v>33</v>
      </c>
      <c r="T27" s="331">
        <v>50</v>
      </c>
      <c r="U27" s="331"/>
      <c r="V27" s="331"/>
      <c r="W27" s="331"/>
      <c r="X27" s="331"/>
      <c r="Y27" s="121"/>
    </row>
    <row r="28" spans="2:26" ht="20.100000000000001" customHeight="1" thickBot="1" x14ac:dyDescent="0.25">
      <c r="B28" s="446"/>
      <c r="C28" s="449" t="s">
        <v>1011</v>
      </c>
      <c r="D28" s="450" t="str">
        <f>CONCATENATE(20*(_Pat_Gewicht/10), " mg")</f>
        <v>0 mg</v>
      </c>
      <c r="E28" s="451" t="str">
        <f>"= "&amp;0.4*(_Pat_Gewicht/10)&amp;" ml van Fenobarbital 50mg/ml oplossing"</f>
        <v>= 0 ml van Fenobarbital 50mg/ml oplossing</v>
      </c>
      <c r="F28" s="451"/>
      <c r="G28" s="452"/>
      <c r="H28" s="38"/>
      <c r="I28" s="38"/>
      <c r="J28" s="331"/>
      <c r="K28" s="331"/>
      <c r="L28" s="331"/>
      <c r="M28" s="331"/>
      <c r="N28" s="331"/>
      <c r="O28" s="331"/>
      <c r="P28" s="331"/>
      <c r="Q28" s="331"/>
      <c r="R28" s="331"/>
      <c r="S28" s="331">
        <v>41</v>
      </c>
      <c r="T28" s="331">
        <v>50</v>
      </c>
      <c r="U28" s="331"/>
      <c r="V28" s="331"/>
      <c r="W28" s="331"/>
      <c r="X28" s="331"/>
      <c r="Y28" s="121"/>
    </row>
    <row r="29" spans="2:26" ht="13.5" customHeight="1" thickBot="1" x14ac:dyDescent="0.25">
      <c r="B29" s="18"/>
      <c r="C29" s="38"/>
      <c r="D29" s="39"/>
      <c r="E29" s="38"/>
      <c r="F29" s="38"/>
      <c r="G29" s="134"/>
      <c r="H29" s="38"/>
      <c r="I29" s="38"/>
      <c r="J29" s="331"/>
      <c r="K29" s="331"/>
      <c r="L29" s="331"/>
      <c r="M29" s="331"/>
      <c r="N29" s="331"/>
      <c r="O29" s="331"/>
      <c r="P29" s="331"/>
      <c r="Q29" s="331"/>
      <c r="R29" s="331"/>
      <c r="S29" s="331">
        <v>42</v>
      </c>
      <c r="T29" s="331">
        <v>50</v>
      </c>
      <c r="U29" s="331"/>
      <c r="V29" s="331"/>
      <c r="W29" s="331"/>
      <c r="X29" s="331"/>
      <c r="Y29" s="121"/>
    </row>
    <row r="30" spans="2:26" ht="19.5" customHeight="1" x14ac:dyDescent="0.2">
      <c r="B30" s="463" t="s">
        <v>679</v>
      </c>
      <c r="C30" s="464" t="s">
        <v>1012</v>
      </c>
      <c r="D30" s="476" t="str">
        <f>CONCATENATE(0.225*(_Pat_Gewicht/10)," (mmol IV)")</f>
        <v>0 (mmol IV)</v>
      </c>
      <c r="E30" s="465" t="str">
        <f>"= "&amp;1*(_Pat_Gewicht/10)&amp;" ml IV van Calcium gluconaat 10%"</f>
        <v>= 0 ml IV van Calcium gluconaat 10%</v>
      </c>
      <c r="F30" s="465"/>
      <c r="G30" s="470"/>
      <c r="H30" s="458"/>
      <c r="I30" s="458"/>
      <c r="J30" s="474"/>
      <c r="K30" s="474"/>
      <c r="L30" s="474"/>
      <c r="M30" s="474"/>
      <c r="N30" s="474"/>
      <c r="O30" s="474"/>
      <c r="P30" s="474"/>
      <c r="Q30" s="474"/>
      <c r="R30" s="474"/>
      <c r="S30" s="474">
        <v>45</v>
      </c>
      <c r="T30" s="474">
        <v>50</v>
      </c>
      <c r="U30" s="474"/>
      <c r="V30" s="474"/>
      <c r="W30" s="474"/>
      <c r="X30" s="474"/>
      <c r="Y30" s="469"/>
      <c r="Z30" s="121"/>
    </row>
    <row r="31" spans="2:26" ht="19.5" customHeight="1" x14ac:dyDescent="0.25">
      <c r="B31" s="463"/>
      <c r="C31" s="462" t="s">
        <v>123</v>
      </c>
      <c r="D31" s="459" t="str">
        <f>CONCATENATE(0.1*(_Pat_Gewicht/10)," mg")</f>
        <v>0 mg</v>
      </c>
      <c r="E31" s="458" t="str">
        <f>"= "&amp;0.1*(_Pat_Gewicht/10)&amp;" ml van Morfine 1mg/1ml oplossing"</f>
        <v>= 0 ml van Morfine 1mg/1ml oplossing</v>
      </c>
      <c r="F31" s="458"/>
      <c r="G31" s="471"/>
      <c r="H31" s="458"/>
      <c r="I31" s="458"/>
      <c r="J31" s="475"/>
      <c r="K31" s="474"/>
      <c r="L31" s="474"/>
      <c r="M31" s="474"/>
      <c r="N31" s="474"/>
      <c r="O31" s="474"/>
      <c r="P31" s="474"/>
      <c r="Q31" s="474"/>
      <c r="R31" s="474"/>
      <c r="S31" s="474">
        <v>46</v>
      </c>
      <c r="T31" s="474">
        <v>50</v>
      </c>
      <c r="U31" s="474"/>
      <c r="V31" s="474"/>
      <c r="W31" s="474"/>
      <c r="X31" s="474"/>
      <c r="Y31" s="469"/>
    </row>
    <row r="32" spans="2:26" ht="19.5" customHeight="1" thickBot="1" x14ac:dyDescent="0.25">
      <c r="B32" s="463"/>
      <c r="C32" s="466" t="s">
        <v>715</v>
      </c>
      <c r="D32" s="467" t="str">
        <f>CONCATENATE(0.6*(_Pat_Gewicht/10)," mg")</f>
        <v>0 mg</v>
      </c>
      <c r="E32" s="468" t="str">
        <f>"= "&amp;0.06*(_Pat_Gewicht/10)&amp;" ml van Rocorium 10mg/1ml oplossing"</f>
        <v>= 0 ml van Rocorium 10mg/1ml oplossing</v>
      </c>
      <c r="F32" s="468"/>
      <c r="G32" s="472"/>
      <c r="H32" s="458"/>
      <c r="I32" s="458"/>
      <c r="J32" s="474"/>
      <c r="K32" s="474"/>
      <c r="L32" s="474"/>
      <c r="M32" s="474"/>
      <c r="N32" s="474"/>
      <c r="O32" s="474"/>
      <c r="P32" s="474"/>
      <c r="Q32" s="474"/>
      <c r="R32" s="474"/>
      <c r="S32" s="474">
        <v>47</v>
      </c>
      <c r="T32" s="474">
        <v>50</v>
      </c>
      <c r="U32" s="474"/>
      <c r="V32" s="474"/>
      <c r="W32" s="474"/>
      <c r="X32" s="474"/>
      <c r="Y32" s="469"/>
    </row>
    <row r="33" spans="2:25" ht="19.5" customHeight="1" x14ac:dyDescent="0.2">
      <c r="B33" s="457"/>
      <c r="C33" s="455"/>
      <c r="D33" s="455"/>
      <c r="E33" s="455"/>
      <c r="F33" s="455"/>
      <c r="G33" s="455"/>
      <c r="H33" s="458"/>
      <c r="I33" s="458"/>
      <c r="J33" s="474"/>
      <c r="K33" s="474"/>
      <c r="L33" s="474"/>
      <c r="M33" s="474"/>
      <c r="N33" s="474"/>
      <c r="O33" s="474"/>
      <c r="P33" s="474"/>
      <c r="Q33" s="474"/>
      <c r="R33" s="474"/>
      <c r="S33" s="474">
        <v>48</v>
      </c>
      <c r="T33" s="474">
        <v>50</v>
      </c>
      <c r="U33" s="474"/>
      <c r="V33" s="474"/>
      <c r="W33" s="474"/>
      <c r="X33" s="474"/>
      <c r="Y33" s="469"/>
    </row>
    <row r="34" spans="2:25" x14ac:dyDescent="0.2">
      <c r="B34" s="457"/>
      <c r="C34" s="458"/>
      <c r="D34" s="459"/>
      <c r="E34" s="458"/>
      <c r="F34" s="458"/>
      <c r="G34" s="473"/>
      <c r="H34" s="458"/>
      <c r="I34" s="458"/>
      <c r="J34" s="474"/>
      <c r="K34" s="474"/>
      <c r="L34" s="474"/>
      <c r="M34" s="474"/>
      <c r="N34" s="474"/>
      <c r="O34" s="474"/>
      <c r="P34" s="474"/>
      <c r="Q34" s="474"/>
      <c r="R34" s="474"/>
      <c r="S34" s="474">
        <v>49</v>
      </c>
      <c r="T34" s="474">
        <v>50</v>
      </c>
      <c r="U34" s="474"/>
      <c r="V34" s="474"/>
      <c r="W34" s="474"/>
      <c r="X34" s="474"/>
      <c r="Y34" s="469"/>
    </row>
    <row r="35" spans="2:25" x14ac:dyDescent="0.2">
      <c r="B35" s="456"/>
      <c r="C35" s="458"/>
      <c r="D35" s="458"/>
      <c r="E35" s="458"/>
      <c r="F35" s="458"/>
      <c r="G35" s="458"/>
      <c r="H35" s="458"/>
      <c r="I35" s="458"/>
      <c r="J35" s="474"/>
      <c r="K35" s="474"/>
      <c r="L35" s="474"/>
      <c r="M35" s="474"/>
      <c r="N35" s="474"/>
      <c r="O35" s="474"/>
      <c r="P35" s="474"/>
      <c r="Q35" s="474"/>
      <c r="R35" s="474"/>
      <c r="S35" s="474">
        <v>50</v>
      </c>
      <c r="T35" s="474">
        <v>50</v>
      </c>
      <c r="U35" s="474">
        <v>50</v>
      </c>
      <c r="V35" s="474"/>
      <c r="W35" s="474"/>
      <c r="X35" s="474"/>
      <c r="Y35" s="469"/>
    </row>
    <row r="36" spans="2:25" x14ac:dyDescent="0.2">
      <c r="B36" s="461" t="s">
        <v>79</v>
      </c>
      <c r="C36" s="460"/>
      <c r="D36" s="458"/>
      <c r="E36" s="458"/>
      <c r="F36" s="458"/>
      <c r="G36" s="458"/>
      <c r="H36" s="458"/>
      <c r="I36" s="458"/>
      <c r="J36" s="474"/>
      <c r="K36" s="474"/>
      <c r="L36" s="474"/>
      <c r="M36" s="474"/>
      <c r="N36" s="474"/>
      <c r="O36" s="474"/>
      <c r="P36" s="474"/>
      <c r="Q36" s="474"/>
      <c r="R36" s="474"/>
      <c r="S36" s="474">
        <v>51</v>
      </c>
      <c r="T36" s="474">
        <v>70</v>
      </c>
      <c r="U36" s="474"/>
      <c r="V36" s="474"/>
      <c r="W36" s="474"/>
      <c r="X36" s="474"/>
      <c r="Y36" s="469"/>
    </row>
    <row r="37" spans="2:25" x14ac:dyDescent="0.2">
      <c r="B37" s="45"/>
      <c r="C37" s="38"/>
      <c r="D37" s="38"/>
      <c r="E37" s="38"/>
      <c r="F37" s="38"/>
      <c r="G37" s="38"/>
      <c r="H37" s="38"/>
      <c r="I37" s="38"/>
      <c r="J37" s="331"/>
      <c r="K37" s="331"/>
      <c r="L37" s="331"/>
      <c r="M37" s="331"/>
      <c r="N37" s="331"/>
      <c r="O37" s="331"/>
      <c r="P37" s="331"/>
      <c r="Q37" s="331"/>
      <c r="R37" s="331"/>
      <c r="S37" s="331">
        <v>50</v>
      </c>
      <c r="T37" s="331">
        <v>50</v>
      </c>
      <c r="U37" s="331">
        <v>50</v>
      </c>
      <c r="V37" s="331"/>
      <c r="W37" s="331"/>
      <c r="X37" s="331"/>
      <c r="Y37" s="121"/>
    </row>
    <row r="38" spans="2:25" x14ac:dyDescent="0.2">
      <c r="B38" s="45"/>
      <c r="C38" s="38"/>
      <c r="D38" s="38"/>
      <c r="E38" s="38"/>
      <c r="F38" s="38"/>
      <c r="G38" s="38"/>
      <c r="H38" s="38"/>
      <c r="I38" s="38"/>
      <c r="J38" s="331"/>
      <c r="K38" s="331"/>
      <c r="L38" s="331"/>
      <c r="M38" s="331"/>
      <c r="N38" s="331"/>
      <c r="O38" s="331"/>
      <c r="P38" s="331"/>
      <c r="Q38" s="331"/>
      <c r="R38" s="331"/>
      <c r="S38" s="331">
        <v>51</v>
      </c>
      <c r="T38" s="331">
        <v>70</v>
      </c>
      <c r="U38" s="331"/>
      <c r="V38" s="331"/>
      <c r="W38" s="331"/>
      <c r="X38" s="331"/>
      <c r="Y38" s="121"/>
    </row>
    <row r="39" spans="2:25" x14ac:dyDescent="0.2">
      <c r="B39" s="45"/>
      <c r="C39" s="38"/>
      <c r="D39" s="38"/>
      <c r="E39" s="38"/>
      <c r="F39" s="38"/>
      <c r="G39" s="38"/>
      <c r="H39" s="38"/>
      <c r="I39" s="38"/>
      <c r="J39" s="331"/>
      <c r="K39" s="331"/>
      <c r="L39" s="331"/>
      <c r="M39" s="331"/>
      <c r="N39" s="331"/>
      <c r="O39" s="331"/>
      <c r="P39" s="331"/>
      <c r="Q39" s="331"/>
      <c r="R39" s="331"/>
      <c r="S39" s="331">
        <v>52</v>
      </c>
      <c r="T39" s="331">
        <v>70</v>
      </c>
      <c r="U39" s="331"/>
      <c r="V39" s="331"/>
      <c r="W39" s="331"/>
      <c r="X39" s="331"/>
      <c r="Y39" s="121"/>
    </row>
    <row r="40" spans="2:25" x14ac:dyDescent="0.2">
      <c r="B40" s="45"/>
      <c r="C40" s="38"/>
      <c r="D40" s="38"/>
      <c r="E40" s="38"/>
      <c r="F40" s="38"/>
      <c r="G40" s="38"/>
      <c r="H40" s="38"/>
      <c r="I40" s="38"/>
      <c r="J40" s="331"/>
      <c r="K40" s="331"/>
      <c r="L40" s="331"/>
      <c r="M40" s="331"/>
      <c r="N40" s="331"/>
      <c r="O40" s="331"/>
      <c r="P40" s="331"/>
      <c r="Q40" s="331"/>
      <c r="R40" s="331"/>
      <c r="S40" s="331">
        <v>53</v>
      </c>
      <c r="T40" s="331">
        <v>70</v>
      </c>
      <c r="U40" s="331"/>
      <c r="V40" s="331"/>
      <c r="W40" s="331"/>
      <c r="X40" s="331"/>
      <c r="Y40" s="121"/>
    </row>
    <row r="41" spans="2:25" x14ac:dyDescent="0.2">
      <c r="B41" s="45"/>
      <c r="C41" s="38"/>
      <c r="D41" s="38"/>
      <c r="E41" s="38"/>
      <c r="F41" s="38"/>
      <c r="G41" s="38"/>
      <c r="H41" s="38"/>
      <c r="I41" s="38"/>
      <c r="J41" s="331"/>
      <c r="K41" s="331"/>
      <c r="L41" s="331"/>
      <c r="M41" s="331"/>
      <c r="N41" s="331"/>
      <c r="O41" s="331"/>
      <c r="P41" s="331"/>
      <c r="Q41" s="331"/>
      <c r="R41" s="331"/>
      <c r="S41" s="331">
        <v>54</v>
      </c>
      <c r="T41" s="331">
        <v>70</v>
      </c>
      <c r="U41" s="331"/>
      <c r="V41" s="331"/>
      <c r="W41" s="331"/>
      <c r="X41" s="331"/>
      <c r="Y41" s="121"/>
    </row>
    <row r="42" spans="2:25" x14ac:dyDescent="0.2">
      <c r="B42" s="45"/>
      <c r="C42" s="38"/>
      <c r="D42" s="38"/>
      <c r="E42" s="38"/>
      <c r="F42" s="38"/>
      <c r="G42" s="38"/>
      <c r="H42" s="38"/>
      <c r="I42" s="38"/>
      <c r="J42" s="331"/>
      <c r="K42" s="331"/>
      <c r="L42" s="331"/>
      <c r="M42" s="331"/>
      <c r="N42" s="331"/>
      <c r="O42" s="331"/>
      <c r="P42" s="331"/>
      <c r="Q42" s="331"/>
      <c r="R42" s="331"/>
      <c r="S42" s="331">
        <v>55</v>
      </c>
      <c r="T42" s="331">
        <v>70</v>
      </c>
      <c r="U42" s="331"/>
      <c r="V42" s="331"/>
      <c r="W42" s="331"/>
      <c r="X42" s="331"/>
      <c r="Y42" s="121"/>
    </row>
    <row r="43" spans="2:25" x14ac:dyDescent="0.2">
      <c r="B43" s="45"/>
      <c r="C43" s="38"/>
      <c r="D43" s="38"/>
      <c r="E43" s="38"/>
      <c r="F43" s="38"/>
      <c r="G43" s="38"/>
      <c r="H43" s="38"/>
      <c r="I43" s="38"/>
      <c r="J43" s="331"/>
      <c r="K43" s="331"/>
      <c r="L43" s="331"/>
      <c r="M43" s="331"/>
      <c r="N43" s="331"/>
      <c r="O43" s="331"/>
      <c r="P43" s="331"/>
      <c r="Q43" s="331"/>
      <c r="R43" s="331"/>
      <c r="S43" s="331">
        <v>56</v>
      </c>
      <c r="T43" s="331">
        <v>70</v>
      </c>
      <c r="U43" s="331"/>
      <c r="V43" s="331"/>
      <c r="W43" s="331"/>
      <c r="X43" s="331"/>
      <c r="Y43" s="121"/>
    </row>
    <row r="44" spans="2:25" x14ac:dyDescent="0.2">
      <c r="B44" s="45"/>
      <c r="C44" s="38"/>
      <c r="D44" s="38"/>
      <c r="E44" s="38"/>
      <c r="F44" s="38"/>
      <c r="G44" s="38"/>
      <c r="H44" s="38"/>
      <c r="I44" s="38"/>
      <c r="J44" s="331"/>
      <c r="K44" s="331"/>
      <c r="L44" s="331"/>
      <c r="M44" s="331"/>
      <c r="N44" s="331"/>
      <c r="O44" s="331"/>
      <c r="P44" s="331"/>
      <c r="Q44" s="331"/>
      <c r="R44" s="331"/>
      <c r="S44" s="331">
        <v>57</v>
      </c>
      <c r="T44" s="331">
        <v>70</v>
      </c>
      <c r="U44" s="331"/>
      <c r="V44" s="331"/>
      <c r="W44" s="331"/>
      <c r="X44" s="331"/>
      <c r="Y44" s="121"/>
    </row>
    <row r="45" spans="2:25" x14ac:dyDescent="0.2">
      <c r="B45" s="45"/>
      <c r="C45" s="38"/>
      <c r="D45" s="38"/>
      <c r="E45" s="38"/>
      <c r="F45" s="38"/>
      <c r="G45" s="38"/>
      <c r="H45" s="38"/>
      <c r="I45" s="38"/>
      <c r="J45" s="331"/>
      <c r="K45" s="331"/>
      <c r="L45" s="331"/>
      <c r="M45" s="331"/>
      <c r="N45" s="331"/>
      <c r="O45" s="331"/>
      <c r="P45" s="331"/>
      <c r="Q45" s="331"/>
      <c r="R45" s="331"/>
      <c r="S45" s="331">
        <v>58</v>
      </c>
      <c r="T45" s="331">
        <v>70</v>
      </c>
      <c r="U45" s="331"/>
      <c r="V45" s="331"/>
      <c r="W45" s="331"/>
      <c r="X45" s="331"/>
      <c r="Y45" s="121"/>
    </row>
    <row r="46" spans="2:25" x14ac:dyDescent="0.2">
      <c r="B46" s="45"/>
      <c r="C46" s="38"/>
      <c r="D46" s="38"/>
      <c r="E46" s="38"/>
      <c r="F46" s="38"/>
      <c r="G46" s="38"/>
      <c r="H46" s="38"/>
      <c r="I46" s="38"/>
      <c r="J46" s="331"/>
      <c r="K46" s="331"/>
      <c r="L46" s="331"/>
      <c r="M46" s="331"/>
      <c r="N46" s="331"/>
      <c r="O46" s="331"/>
      <c r="P46" s="331"/>
      <c r="Q46" s="331"/>
      <c r="R46" s="331"/>
      <c r="S46" s="331">
        <v>59</v>
      </c>
      <c r="T46" s="331">
        <v>70</v>
      </c>
      <c r="U46" s="331"/>
      <c r="V46" s="331"/>
      <c r="W46" s="331"/>
      <c r="X46" s="331"/>
      <c r="Y46" s="121"/>
    </row>
    <row r="47" spans="2:25" x14ac:dyDescent="0.2">
      <c r="B47" s="45"/>
      <c r="C47" s="38"/>
      <c r="D47" s="38"/>
      <c r="E47" s="38"/>
      <c r="F47" s="38"/>
      <c r="G47" s="38"/>
      <c r="H47" s="38"/>
      <c r="I47" s="38"/>
      <c r="J47" s="331"/>
      <c r="K47" s="331"/>
      <c r="L47" s="331"/>
      <c r="M47" s="331"/>
      <c r="N47" s="331"/>
      <c r="O47" s="331"/>
      <c r="P47" s="331"/>
      <c r="Q47" s="331"/>
      <c r="R47" s="331"/>
      <c r="S47" s="331">
        <v>60</v>
      </c>
      <c r="T47" s="331">
        <v>70</v>
      </c>
      <c r="U47" s="331"/>
      <c r="V47" s="331"/>
      <c r="W47" s="331"/>
      <c r="X47" s="331"/>
      <c r="Y47" s="121"/>
    </row>
    <row r="48" spans="2:25" x14ac:dyDescent="0.2">
      <c r="B48" s="45"/>
      <c r="C48" s="38"/>
      <c r="D48" s="38"/>
      <c r="E48" s="38"/>
      <c r="F48" s="38"/>
      <c r="G48" s="38"/>
      <c r="H48" s="38"/>
      <c r="I48" s="38"/>
      <c r="J48" s="331"/>
      <c r="K48" s="331"/>
      <c r="L48" s="331"/>
      <c r="M48" s="331"/>
      <c r="N48" s="331"/>
      <c r="O48" s="331"/>
      <c r="P48" s="331"/>
      <c r="Q48" s="331"/>
      <c r="R48" s="331"/>
      <c r="S48" s="331">
        <v>61</v>
      </c>
      <c r="T48" s="331">
        <v>70</v>
      </c>
      <c r="U48" s="331"/>
      <c r="V48" s="331"/>
      <c r="W48" s="331"/>
      <c r="X48" s="331"/>
      <c r="Y48" s="121"/>
    </row>
    <row r="49" spans="2:25" x14ac:dyDescent="0.2">
      <c r="B49" s="45"/>
      <c r="C49" s="38"/>
      <c r="D49" s="38"/>
      <c r="E49" s="38"/>
      <c r="F49" s="38"/>
      <c r="G49" s="38"/>
      <c r="H49" s="38"/>
      <c r="I49" s="38"/>
      <c r="J49" s="331"/>
      <c r="K49" s="331"/>
      <c r="L49" s="331"/>
      <c r="M49" s="331"/>
      <c r="N49" s="331"/>
      <c r="O49" s="331"/>
      <c r="P49" s="331"/>
      <c r="Q49" s="331"/>
      <c r="R49" s="331"/>
      <c r="S49" s="331">
        <v>62</v>
      </c>
      <c r="T49" s="331">
        <v>70</v>
      </c>
      <c r="U49" s="331"/>
      <c r="V49" s="331"/>
      <c r="W49" s="331"/>
      <c r="X49" s="331"/>
      <c r="Y49" s="121"/>
    </row>
    <row r="50" spans="2:25" x14ac:dyDescent="0.2">
      <c r="B50" s="45"/>
      <c r="C50" s="38"/>
      <c r="D50" s="38"/>
      <c r="E50" s="38"/>
      <c r="F50" s="38"/>
      <c r="G50" s="38"/>
      <c r="H50" s="38"/>
      <c r="I50" s="38"/>
      <c r="J50" s="331"/>
      <c r="K50" s="331"/>
      <c r="L50" s="331"/>
      <c r="M50" s="331"/>
      <c r="N50" s="331"/>
      <c r="O50" s="331"/>
      <c r="P50" s="331"/>
      <c r="Q50" s="331"/>
      <c r="R50" s="331"/>
      <c r="S50" s="331">
        <v>63</v>
      </c>
      <c r="T50" s="331">
        <v>70</v>
      </c>
      <c r="U50" s="331"/>
      <c r="V50" s="331"/>
      <c r="W50" s="331"/>
      <c r="X50" s="331"/>
      <c r="Y50" s="121"/>
    </row>
    <row r="51" spans="2:25" x14ac:dyDescent="0.2">
      <c r="B51" s="45"/>
      <c r="C51" s="38"/>
      <c r="D51" s="38"/>
      <c r="E51" s="38"/>
      <c r="F51" s="38"/>
      <c r="G51" s="38"/>
      <c r="H51" s="38"/>
      <c r="I51" s="38"/>
      <c r="J51" s="331"/>
      <c r="K51" s="331"/>
      <c r="L51" s="331"/>
      <c r="M51" s="331"/>
      <c r="N51" s="331"/>
      <c r="O51" s="331"/>
      <c r="P51" s="331"/>
      <c r="Q51" s="331"/>
      <c r="R51" s="331"/>
      <c r="S51" s="331">
        <v>64</v>
      </c>
      <c r="T51" s="331">
        <v>70</v>
      </c>
      <c r="U51" s="331"/>
      <c r="V51" s="331"/>
      <c r="W51" s="331"/>
      <c r="X51" s="331"/>
      <c r="Y51" s="121"/>
    </row>
    <row r="52" spans="2:25" x14ac:dyDescent="0.2">
      <c r="B52" s="45"/>
      <c r="C52" s="38"/>
      <c r="D52" s="38"/>
      <c r="E52" s="38"/>
      <c r="F52" s="38"/>
      <c r="G52" s="38"/>
      <c r="H52" s="38"/>
      <c r="I52" s="38"/>
      <c r="J52" s="331"/>
      <c r="K52" s="331"/>
      <c r="L52" s="331"/>
      <c r="M52" s="331"/>
      <c r="N52" s="331"/>
      <c r="O52" s="331"/>
      <c r="P52" s="331"/>
      <c r="Q52" s="331"/>
      <c r="R52" s="331"/>
      <c r="S52" s="331">
        <v>65</v>
      </c>
      <c r="T52" s="331">
        <v>70</v>
      </c>
      <c r="U52" s="331"/>
      <c r="V52" s="331"/>
      <c r="W52" s="331"/>
      <c r="X52" s="331"/>
      <c r="Y52" s="121"/>
    </row>
    <row r="53" spans="2:25" x14ac:dyDescent="0.2">
      <c r="B53" s="45"/>
      <c r="C53" s="38"/>
      <c r="D53" s="38"/>
      <c r="E53" s="38"/>
      <c r="F53" s="38"/>
      <c r="G53" s="38"/>
      <c r="H53" s="38"/>
      <c r="I53" s="38"/>
      <c r="J53" s="331"/>
      <c r="K53" s="331"/>
      <c r="L53" s="331"/>
      <c r="M53" s="331"/>
      <c r="N53" s="331"/>
      <c r="O53" s="331"/>
      <c r="P53" s="331"/>
      <c r="Q53" s="331"/>
      <c r="R53" s="331"/>
      <c r="S53" s="331">
        <v>66</v>
      </c>
      <c r="T53" s="331">
        <v>70</v>
      </c>
      <c r="U53" s="331"/>
      <c r="V53" s="331"/>
      <c r="W53" s="331"/>
      <c r="X53" s="331"/>
      <c r="Y53" s="121"/>
    </row>
    <row r="54" spans="2:25" x14ac:dyDescent="0.2">
      <c r="B54" s="45"/>
      <c r="C54" s="38"/>
      <c r="D54" s="38"/>
      <c r="E54" s="38"/>
      <c r="F54" s="38"/>
      <c r="G54" s="38"/>
      <c r="H54" s="38"/>
      <c r="I54" s="38"/>
      <c r="J54" s="331"/>
      <c r="K54" s="331"/>
      <c r="L54" s="331"/>
      <c r="M54" s="331"/>
      <c r="N54" s="331"/>
      <c r="O54" s="331"/>
      <c r="P54" s="331"/>
      <c r="Q54" s="331"/>
      <c r="R54" s="331"/>
      <c r="S54" s="331">
        <v>67</v>
      </c>
      <c r="T54" s="331">
        <v>70</v>
      </c>
      <c r="U54" s="331"/>
      <c r="V54" s="331"/>
      <c r="W54" s="331"/>
      <c r="X54" s="331"/>
      <c r="Y54" s="121"/>
    </row>
    <row r="55" spans="2:25" x14ac:dyDescent="0.2">
      <c r="B55" s="45"/>
      <c r="C55" s="38"/>
      <c r="D55" s="38"/>
      <c r="E55" s="38"/>
      <c r="F55" s="38"/>
      <c r="G55" s="38"/>
      <c r="H55" s="38"/>
      <c r="I55" s="38"/>
      <c r="J55" s="331"/>
      <c r="K55" s="331"/>
      <c r="L55" s="331"/>
      <c r="M55" s="331"/>
      <c r="N55" s="331"/>
      <c r="O55" s="331"/>
      <c r="P55" s="331"/>
      <c r="Q55" s="331"/>
      <c r="R55" s="331"/>
      <c r="S55" s="331">
        <v>68</v>
      </c>
      <c r="T55" s="331">
        <v>70</v>
      </c>
      <c r="U55" s="331"/>
      <c r="V55" s="331"/>
      <c r="W55" s="331"/>
      <c r="X55" s="331"/>
      <c r="Y55" s="121"/>
    </row>
    <row r="56" spans="2:25" x14ac:dyDescent="0.2">
      <c r="B56" s="45"/>
      <c r="C56" s="38"/>
      <c r="D56" s="38"/>
      <c r="E56" s="38"/>
      <c r="F56" s="38"/>
      <c r="G56" s="38"/>
      <c r="H56" s="38"/>
      <c r="I56" s="38"/>
      <c r="J56" s="331"/>
      <c r="K56" s="331"/>
      <c r="L56" s="331"/>
      <c r="M56" s="331"/>
      <c r="N56" s="331"/>
      <c r="O56" s="331"/>
      <c r="P56" s="331"/>
      <c r="Q56" s="331"/>
      <c r="R56" s="331"/>
      <c r="S56" s="331">
        <v>69</v>
      </c>
      <c r="T56" s="331">
        <v>70</v>
      </c>
      <c r="U56" s="331"/>
      <c r="V56" s="331"/>
      <c r="W56" s="331"/>
      <c r="X56" s="331"/>
      <c r="Y56" s="121"/>
    </row>
    <row r="57" spans="2:25" x14ac:dyDescent="0.2">
      <c r="B57" s="45"/>
      <c r="C57" s="38"/>
      <c r="D57" s="38"/>
      <c r="E57" s="38"/>
      <c r="F57" s="38"/>
      <c r="G57" s="38"/>
      <c r="H57" s="38"/>
      <c r="I57" s="38"/>
      <c r="J57" s="331"/>
      <c r="K57" s="331"/>
      <c r="L57" s="331"/>
      <c r="M57" s="331"/>
      <c r="N57" s="331"/>
      <c r="O57" s="331"/>
      <c r="P57" s="331"/>
      <c r="Q57" s="331"/>
      <c r="R57" s="331"/>
      <c r="S57" s="331">
        <v>70</v>
      </c>
      <c r="T57" s="331">
        <v>70</v>
      </c>
      <c r="U57" s="331">
        <v>70</v>
      </c>
      <c r="V57" s="331"/>
      <c r="W57" s="331"/>
      <c r="X57" s="331"/>
      <c r="Y57" s="121"/>
    </row>
    <row r="58" spans="2:25" x14ac:dyDescent="0.2">
      <c r="B58" s="45"/>
      <c r="C58" s="38"/>
      <c r="D58" s="38"/>
      <c r="E58" s="38"/>
      <c r="F58" s="38"/>
      <c r="G58" s="38"/>
      <c r="H58" s="38"/>
      <c r="I58" s="38"/>
      <c r="J58" s="331"/>
      <c r="K58" s="331"/>
      <c r="L58" s="331"/>
      <c r="M58" s="331"/>
      <c r="N58" s="331"/>
      <c r="O58" s="331"/>
      <c r="P58" s="331"/>
      <c r="Q58" s="331"/>
      <c r="R58" s="331"/>
      <c r="S58" s="331">
        <v>71</v>
      </c>
      <c r="T58" s="331">
        <v>100</v>
      </c>
      <c r="U58" s="331"/>
      <c r="V58" s="331"/>
      <c r="W58" s="331"/>
      <c r="X58" s="331"/>
      <c r="Y58" s="121"/>
    </row>
    <row r="59" spans="2:25" x14ac:dyDescent="0.2">
      <c r="B59" s="45"/>
      <c r="C59" s="38"/>
      <c r="D59" s="38"/>
      <c r="E59" s="38"/>
      <c r="F59" s="38"/>
      <c r="G59" s="38"/>
      <c r="H59" s="38"/>
      <c r="I59" s="38"/>
      <c r="J59" s="331"/>
      <c r="K59" s="331"/>
      <c r="L59" s="331"/>
      <c r="M59" s="331"/>
      <c r="N59" s="331"/>
      <c r="O59" s="331"/>
      <c r="P59" s="331"/>
      <c r="Q59" s="331"/>
      <c r="R59" s="331"/>
      <c r="S59" s="331">
        <v>72</v>
      </c>
      <c r="T59" s="331">
        <v>100</v>
      </c>
      <c r="U59" s="331"/>
      <c r="V59" s="331"/>
      <c r="W59" s="331"/>
      <c r="X59" s="331"/>
      <c r="Y59" s="121"/>
    </row>
    <row r="60" spans="2:25" x14ac:dyDescent="0.2">
      <c r="B60" s="45"/>
      <c r="C60" s="38"/>
      <c r="D60" s="38"/>
      <c r="E60" s="38"/>
      <c r="F60" s="38"/>
      <c r="G60" s="38"/>
      <c r="H60" s="38"/>
      <c r="I60" s="38"/>
      <c r="J60" s="331"/>
      <c r="K60" s="331"/>
      <c r="L60" s="331"/>
      <c r="M60" s="331"/>
      <c r="N60" s="331"/>
      <c r="O60" s="331"/>
      <c r="P60" s="331"/>
      <c r="Q60" s="331"/>
      <c r="R60" s="331"/>
      <c r="S60" s="331">
        <v>73</v>
      </c>
      <c r="T60" s="331">
        <v>100</v>
      </c>
      <c r="U60" s="331"/>
      <c r="V60" s="331"/>
      <c r="W60" s="331"/>
      <c r="X60" s="331"/>
      <c r="Y60" s="121"/>
    </row>
    <row r="61" spans="2:25" x14ac:dyDescent="0.2">
      <c r="B61" s="45"/>
      <c r="C61" s="38"/>
      <c r="D61" s="38"/>
      <c r="E61" s="38"/>
      <c r="F61" s="38"/>
      <c r="G61" s="38"/>
      <c r="H61" s="38"/>
      <c r="I61" s="38"/>
      <c r="J61" s="331"/>
      <c r="K61" s="331"/>
      <c r="L61" s="331"/>
      <c r="M61" s="331"/>
      <c r="N61" s="331"/>
      <c r="O61" s="331"/>
      <c r="P61" s="331"/>
      <c r="Q61" s="331"/>
      <c r="R61" s="331"/>
      <c r="S61" s="331">
        <v>74</v>
      </c>
      <c r="T61" s="331">
        <v>100</v>
      </c>
      <c r="U61" s="331"/>
      <c r="V61" s="331"/>
      <c r="W61" s="331"/>
      <c r="X61" s="331"/>
      <c r="Y61" s="121"/>
    </row>
    <row r="62" spans="2:25" x14ac:dyDescent="0.2">
      <c r="B62" s="45"/>
      <c r="C62" s="38"/>
      <c r="D62" s="38"/>
      <c r="E62" s="38"/>
      <c r="F62" s="38"/>
      <c r="G62" s="38"/>
      <c r="H62" s="38"/>
      <c r="I62" s="38"/>
      <c r="J62" s="331"/>
      <c r="K62" s="331"/>
      <c r="L62" s="331"/>
      <c r="M62" s="331"/>
      <c r="N62" s="331"/>
      <c r="O62" s="331"/>
      <c r="P62" s="331"/>
      <c r="Q62" s="331"/>
      <c r="R62" s="331"/>
      <c r="S62" s="331">
        <v>75</v>
      </c>
      <c r="T62" s="331">
        <v>100</v>
      </c>
      <c r="U62" s="331"/>
      <c r="V62" s="331"/>
      <c r="W62" s="331"/>
      <c r="X62" s="331"/>
      <c r="Y62" s="121"/>
    </row>
    <row r="63" spans="2:25" x14ac:dyDescent="0.2">
      <c r="B63" s="45"/>
      <c r="C63" s="38"/>
      <c r="D63" s="38"/>
      <c r="E63" s="38"/>
      <c r="F63" s="38"/>
      <c r="G63" s="38"/>
      <c r="H63" s="38"/>
      <c r="I63" s="38"/>
      <c r="J63" s="331"/>
      <c r="K63" s="331"/>
      <c r="L63" s="331"/>
      <c r="M63" s="331"/>
      <c r="N63" s="331"/>
      <c r="O63" s="331"/>
      <c r="P63" s="331"/>
      <c r="Q63" s="331"/>
      <c r="R63" s="331"/>
      <c r="S63" s="331">
        <v>76</v>
      </c>
      <c r="T63" s="331">
        <v>100</v>
      </c>
      <c r="U63" s="331"/>
      <c r="V63" s="331"/>
      <c r="W63" s="331"/>
      <c r="X63" s="331"/>
      <c r="Y63" s="121"/>
    </row>
    <row r="64" spans="2:25" x14ac:dyDescent="0.2">
      <c r="H64" s="38"/>
      <c r="I64" s="38"/>
      <c r="J64" s="331"/>
      <c r="K64" s="331"/>
      <c r="L64" s="331"/>
      <c r="M64" s="331"/>
      <c r="N64" s="331"/>
      <c r="O64" s="331"/>
      <c r="P64" s="331"/>
      <c r="Q64" s="331"/>
      <c r="R64" s="331"/>
      <c r="S64" s="331">
        <v>77</v>
      </c>
      <c r="T64" s="331">
        <v>100</v>
      </c>
      <c r="U64" s="331"/>
      <c r="V64" s="331"/>
      <c r="W64" s="331"/>
      <c r="X64" s="331"/>
      <c r="Y64" s="121"/>
    </row>
    <row r="65" spans="10:25" x14ac:dyDescent="0.2">
      <c r="J65" s="331"/>
      <c r="K65" s="331"/>
      <c r="L65" s="331"/>
      <c r="M65" s="331"/>
      <c r="N65" s="331"/>
      <c r="O65" s="331"/>
      <c r="P65" s="331"/>
      <c r="Q65" s="331"/>
      <c r="R65" s="331"/>
      <c r="S65" s="331">
        <v>78</v>
      </c>
      <c r="T65" s="331">
        <v>100</v>
      </c>
      <c r="U65" s="331"/>
      <c r="V65" s="331"/>
      <c r="W65" s="331"/>
      <c r="X65" s="331"/>
      <c r="Y65" s="121"/>
    </row>
    <row r="66" spans="10:25" x14ac:dyDescent="0.2">
      <c r="J66" s="331"/>
      <c r="K66" s="331"/>
      <c r="L66" s="331"/>
      <c r="M66" s="331"/>
      <c r="N66" s="331"/>
      <c r="O66" s="331"/>
      <c r="P66" s="331"/>
      <c r="Q66" s="331"/>
      <c r="R66" s="331"/>
      <c r="S66" s="331">
        <v>79</v>
      </c>
      <c r="T66" s="331">
        <v>100</v>
      </c>
      <c r="U66" s="331"/>
      <c r="V66" s="331"/>
      <c r="W66" s="331"/>
      <c r="X66" s="331"/>
      <c r="Y66" s="121"/>
    </row>
    <row r="67" spans="10:25" x14ac:dyDescent="0.2">
      <c r="J67" s="331"/>
      <c r="K67" s="331"/>
      <c r="L67" s="331"/>
      <c r="M67" s="331"/>
      <c r="N67" s="331"/>
      <c r="O67" s="331"/>
      <c r="P67" s="331"/>
      <c r="Q67" s="331"/>
      <c r="R67" s="331"/>
      <c r="S67" s="331">
        <v>80</v>
      </c>
      <c r="T67" s="331">
        <v>100</v>
      </c>
      <c r="U67" s="331"/>
      <c r="V67" s="331"/>
      <c r="W67" s="331"/>
      <c r="X67" s="331"/>
      <c r="Y67" s="121"/>
    </row>
    <row r="68" spans="10:25" x14ac:dyDescent="0.2">
      <c r="J68" s="331"/>
      <c r="K68" s="331"/>
      <c r="L68" s="331"/>
      <c r="M68" s="331"/>
      <c r="N68" s="331"/>
      <c r="O68" s="331"/>
      <c r="P68" s="331"/>
      <c r="Q68" s="331"/>
      <c r="R68" s="331"/>
      <c r="S68" s="331">
        <v>81</v>
      </c>
      <c r="T68" s="331">
        <v>100</v>
      </c>
      <c r="U68" s="331"/>
      <c r="V68" s="331"/>
      <c r="W68" s="331"/>
      <c r="X68" s="331"/>
      <c r="Y68" s="121"/>
    </row>
    <row r="69" spans="10:25" x14ac:dyDescent="0.2">
      <c r="J69" s="331"/>
      <c r="K69" s="331"/>
      <c r="L69" s="331"/>
      <c r="M69" s="331"/>
      <c r="N69" s="331"/>
      <c r="O69" s="331"/>
      <c r="P69" s="331"/>
      <c r="Q69" s="331"/>
      <c r="R69" s="331"/>
      <c r="S69" s="331">
        <v>82</v>
      </c>
      <c r="T69" s="331">
        <v>100</v>
      </c>
      <c r="U69" s="331"/>
      <c r="V69" s="331"/>
      <c r="W69" s="331"/>
      <c r="X69" s="331"/>
      <c r="Y69" s="121"/>
    </row>
    <row r="70" spans="10:25" x14ac:dyDescent="0.2">
      <c r="J70" s="331"/>
      <c r="K70" s="331"/>
      <c r="L70" s="331"/>
      <c r="M70" s="331"/>
      <c r="N70" s="331"/>
      <c r="O70" s="331"/>
      <c r="P70" s="331"/>
      <c r="Q70" s="331"/>
      <c r="R70" s="331"/>
      <c r="S70" s="331">
        <v>83</v>
      </c>
      <c r="T70" s="331">
        <v>100</v>
      </c>
      <c r="U70" s="331"/>
      <c r="V70" s="331"/>
      <c r="W70" s="331"/>
      <c r="X70" s="331"/>
      <c r="Y70" s="121"/>
    </row>
    <row r="71" spans="10:25" x14ac:dyDescent="0.2">
      <c r="J71" s="331"/>
      <c r="K71" s="331"/>
      <c r="L71" s="331"/>
      <c r="M71" s="331"/>
      <c r="N71" s="331"/>
      <c r="O71" s="331"/>
      <c r="P71" s="331"/>
      <c r="Q71" s="331"/>
      <c r="R71" s="331"/>
      <c r="S71" s="331">
        <v>84</v>
      </c>
      <c r="T71" s="331">
        <v>100</v>
      </c>
      <c r="U71" s="331"/>
      <c r="V71" s="331"/>
      <c r="W71" s="331"/>
      <c r="X71" s="331"/>
      <c r="Y71" s="121"/>
    </row>
    <row r="72" spans="10:25" x14ac:dyDescent="0.2">
      <c r="J72" s="331"/>
      <c r="K72" s="331"/>
      <c r="L72" s="331"/>
      <c r="M72" s="331"/>
      <c r="N72" s="331"/>
      <c r="O72" s="331"/>
      <c r="P72" s="331"/>
      <c r="Q72" s="331"/>
      <c r="R72" s="331"/>
      <c r="S72" s="331">
        <v>85</v>
      </c>
      <c r="T72" s="331">
        <v>100</v>
      </c>
      <c r="U72" s="331"/>
      <c r="V72" s="331"/>
      <c r="W72" s="331"/>
      <c r="X72" s="331"/>
      <c r="Y72" s="121"/>
    </row>
    <row r="73" spans="10:25" x14ac:dyDescent="0.2">
      <c r="J73" s="331"/>
      <c r="K73" s="331"/>
      <c r="L73" s="331"/>
      <c r="M73" s="331"/>
      <c r="N73" s="331"/>
      <c r="O73" s="331"/>
      <c r="P73" s="331"/>
      <c r="Q73" s="331"/>
      <c r="R73" s="331"/>
      <c r="S73" s="331">
        <v>86</v>
      </c>
      <c r="T73" s="331">
        <v>100</v>
      </c>
      <c r="U73" s="331"/>
      <c r="V73" s="331"/>
      <c r="W73" s="331"/>
      <c r="X73" s="331"/>
      <c r="Y73" s="121"/>
    </row>
    <row r="74" spans="10:25" x14ac:dyDescent="0.2">
      <c r="J74" s="331"/>
      <c r="K74" s="331"/>
      <c r="L74" s="331"/>
      <c r="M74" s="331"/>
      <c r="N74" s="331"/>
      <c r="O74" s="331"/>
      <c r="P74" s="331"/>
      <c r="Q74" s="331"/>
      <c r="R74" s="331"/>
      <c r="S74" s="331">
        <v>87</v>
      </c>
      <c r="T74" s="331">
        <v>100</v>
      </c>
      <c r="U74" s="331"/>
      <c r="V74" s="331"/>
      <c r="W74" s="331"/>
      <c r="X74" s="331"/>
      <c r="Y74" s="121"/>
    </row>
    <row r="75" spans="10:25" x14ac:dyDescent="0.2">
      <c r="J75" s="331"/>
      <c r="K75" s="331"/>
      <c r="L75" s="331"/>
      <c r="M75" s="331"/>
      <c r="N75" s="331"/>
      <c r="O75" s="331"/>
      <c r="P75" s="331"/>
      <c r="Q75" s="331"/>
      <c r="R75" s="331"/>
      <c r="S75" s="331">
        <v>88</v>
      </c>
      <c r="T75" s="331">
        <v>100</v>
      </c>
      <c r="U75" s="331"/>
      <c r="V75" s="331"/>
      <c r="W75" s="331"/>
      <c r="X75" s="331"/>
      <c r="Y75" s="121"/>
    </row>
    <row r="76" spans="10:25" x14ac:dyDescent="0.2">
      <c r="J76" s="331"/>
      <c r="K76" s="331"/>
      <c r="L76" s="331"/>
      <c r="M76" s="331"/>
      <c r="N76" s="331"/>
      <c r="O76" s="331"/>
      <c r="P76" s="331"/>
      <c r="Q76" s="331"/>
      <c r="R76" s="331"/>
      <c r="S76" s="331">
        <v>89</v>
      </c>
      <c r="T76" s="331">
        <v>100</v>
      </c>
      <c r="U76" s="331"/>
      <c r="V76" s="331"/>
      <c r="W76" s="331"/>
      <c r="X76" s="331"/>
      <c r="Y76" s="121"/>
    </row>
    <row r="77" spans="10:25" x14ac:dyDescent="0.2">
      <c r="J77" s="331"/>
      <c r="K77" s="331"/>
      <c r="L77" s="331"/>
      <c r="M77" s="331"/>
      <c r="N77" s="331"/>
      <c r="O77" s="331"/>
      <c r="P77" s="331"/>
      <c r="Q77" s="331"/>
      <c r="R77" s="331"/>
      <c r="S77" s="331">
        <v>90</v>
      </c>
      <c r="T77" s="331">
        <v>100</v>
      </c>
      <c r="U77" s="331"/>
      <c r="V77" s="331"/>
      <c r="W77" s="331"/>
      <c r="X77" s="331"/>
      <c r="Y77" s="121"/>
    </row>
    <row r="78" spans="10:25" x14ac:dyDescent="0.2">
      <c r="J78" s="331"/>
      <c r="K78" s="331"/>
      <c r="L78" s="331"/>
      <c r="M78" s="331"/>
      <c r="N78" s="331"/>
      <c r="O78" s="331"/>
      <c r="P78" s="331"/>
      <c r="Q78" s="331"/>
      <c r="R78" s="331"/>
      <c r="S78" s="331">
        <v>91</v>
      </c>
      <c r="T78" s="331">
        <v>100</v>
      </c>
      <c r="U78" s="331"/>
      <c r="V78" s="331"/>
      <c r="W78" s="331"/>
      <c r="X78" s="331"/>
      <c r="Y78" s="121"/>
    </row>
    <row r="79" spans="10:25" x14ac:dyDescent="0.2">
      <c r="J79" s="331"/>
      <c r="K79" s="331"/>
      <c r="L79" s="331"/>
      <c r="M79" s="331"/>
      <c r="N79" s="331"/>
      <c r="O79" s="331"/>
      <c r="P79" s="331"/>
      <c r="Q79" s="331"/>
      <c r="R79" s="331"/>
      <c r="S79" s="331">
        <v>92</v>
      </c>
      <c r="T79" s="331">
        <v>100</v>
      </c>
      <c r="U79" s="331"/>
      <c r="V79" s="331"/>
      <c r="W79" s="331"/>
      <c r="X79" s="331"/>
      <c r="Y79" s="121"/>
    </row>
    <row r="80" spans="10:25" x14ac:dyDescent="0.2">
      <c r="J80" s="331"/>
      <c r="K80" s="331"/>
      <c r="L80" s="331"/>
      <c r="M80" s="331"/>
      <c r="N80" s="331"/>
      <c r="O80" s="331"/>
      <c r="P80" s="331"/>
      <c r="Q80" s="331"/>
      <c r="R80" s="331"/>
      <c r="S80" s="331">
        <v>93</v>
      </c>
      <c r="T80" s="331">
        <v>100</v>
      </c>
      <c r="U80" s="331"/>
      <c r="V80" s="331"/>
      <c r="W80" s="331"/>
      <c r="X80" s="331"/>
      <c r="Y80" s="121"/>
    </row>
    <row r="81" spans="10:25" x14ac:dyDescent="0.2">
      <c r="J81" s="331"/>
      <c r="K81" s="331"/>
      <c r="L81" s="331"/>
      <c r="M81" s="331"/>
      <c r="N81" s="331"/>
      <c r="O81" s="331"/>
      <c r="P81" s="331"/>
      <c r="Q81" s="331"/>
      <c r="R81" s="331"/>
      <c r="S81" s="331">
        <v>94</v>
      </c>
      <c r="T81" s="331">
        <v>100</v>
      </c>
      <c r="U81" s="331"/>
      <c r="V81" s="331"/>
      <c r="W81" s="331"/>
      <c r="X81" s="331"/>
      <c r="Y81" s="121"/>
    </row>
    <row r="82" spans="10:25" x14ac:dyDescent="0.2">
      <c r="J82" s="331"/>
      <c r="K82" s="331"/>
      <c r="L82" s="331"/>
      <c r="M82" s="331"/>
      <c r="N82" s="331"/>
      <c r="O82" s="331"/>
      <c r="P82" s="331"/>
      <c r="Q82" s="331"/>
      <c r="R82" s="331"/>
      <c r="S82" s="331">
        <v>95</v>
      </c>
      <c r="T82" s="331">
        <v>100</v>
      </c>
      <c r="U82" s="331"/>
      <c r="V82" s="331"/>
      <c r="W82" s="331"/>
      <c r="X82" s="331"/>
      <c r="Y82" s="121"/>
    </row>
    <row r="83" spans="10:25" x14ac:dyDescent="0.2">
      <c r="J83" s="331"/>
      <c r="K83" s="331"/>
      <c r="L83" s="331"/>
      <c r="M83" s="331"/>
      <c r="N83" s="331"/>
      <c r="O83" s="331"/>
      <c r="P83" s="331"/>
      <c r="Q83" s="331"/>
      <c r="R83" s="331"/>
      <c r="S83" s="331">
        <v>96</v>
      </c>
      <c r="T83" s="331">
        <v>100</v>
      </c>
      <c r="U83" s="331"/>
      <c r="V83" s="331"/>
      <c r="W83" s="331"/>
      <c r="X83" s="331"/>
      <c r="Y83" s="121"/>
    </row>
    <row r="84" spans="10:25" x14ac:dyDescent="0.2">
      <c r="J84" s="331"/>
      <c r="K84" s="331"/>
      <c r="L84" s="331"/>
      <c r="M84" s="331"/>
      <c r="N84" s="331"/>
      <c r="O84" s="331"/>
      <c r="P84" s="331"/>
      <c r="Q84" s="331"/>
      <c r="R84" s="331"/>
      <c r="S84" s="331">
        <v>97</v>
      </c>
      <c r="T84" s="331">
        <v>100</v>
      </c>
      <c r="U84" s="331"/>
      <c r="V84" s="331"/>
      <c r="W84" s="331"/>
      <c r="X84" s="331"/>
      <c r="Y84" s="121"/>
    </row>
    <row r="85" spans="10:25" x14ac:dyDescent="0.2">
      <c r="J85" s="331"/>
      <c r="K85" s="331"/>
      <c r="L85" s="331"/>
      <c r="M85" s="331"/>
      <c r="N85" s="331"/>
      <c r="O85" s="331"/>
      <c r="P85" s="331"/>
      <c r="Q85" s="331"/>
      <c r="R85" s="331"/>
      <c r="S85" s="331">
        <v>98</v>
      </c>
      <c r="T85" s="331">
        <v>100</v>
      </c>
      <c r="U85" s="331"/>
      <c r="V85" s="331"/>
      <c r="W85" s="331"/>
      <c r="X85" s="331"/>
      <c r="Y85" s="121"/>
    </row>
    <row r="86" spans="10:25" x14ac:dyDescent="0.2">
      <c r="J86" s="331"/>
      <c r="K86" s="331"/>
      <c r="L86" s="331"/>
      <c r="M86" s="331"/>
      <c r="N86" s="331"/>
      <c r="O86" s="331"/>
      <c r="P86" s="331"/>
      <c r="Q86" s="331"/>
      <c r="R86" s="331"/>
      <c r="S86" s="331">
        <v>99</v>
      </c>
      <c r="T86" s="331">
        <v>100</v>
      </c>
      <c r="U86" s="331"/>
      <c r="V86" s="331"/>
      <c r="W86" s="331"/>
      <c r="X86" s="331"/>
      <c r="Y86" s="121"/>
    </row>
    <row r="87" spans="10:25" x14ac:dyDescent="0.2">
      <c r="J87" s="331"/>
      <c r="K87" s="331"/>
      <c r="L87" s="331"/>
      <c r="M87" s="331"/>
      <c r="N87" s="331"/>
      <c r="O87" s="331"/>
      <c r="P87" s="331"/>
      <c r="Q87" s="331"/>
      <c r="R87" s="331"/>
      <c r="S87" s="331">
        <v>100</v>
      </c>
      <c r="T87" s="331">
        <v>100</v>
      </c>
      <c r="U87" s="331">
        <v>100</v>
      </c>
      <c r="V87" s="331"/>
      <c r="W87" s="331"/>
      <c r="X87" s="331"/>
      <c r="Y87" s="121"/>
    </row>
    <row r="88" spans="10:25" x14ac:dyDescent="0.2">
      <c r="J88" s="331"/>
      <c r="K88" s="331"/>
      <c r="L88" s="331"/>
      <c r="M88" s="331"/>
      <c r="N88" s="331"/>
      <c r="O88" s="331"/>
      <c r="P88" s="331"/>
      <c r="Q88" s="331"/>
      <c r="R88" s="331"/>
      <c r="S88" s="331">
        <v>101</v>
      </c>
      <c r="T88" s="331">
        <v>150</v>
      </c>
      <c r="U88" s="331"/>
      <c r="V88" s="331"/>
      <c r="W88" s="331"/>
      <c r="X88" s="331"/>
      <c r="Y88" s="121"/>
    </row>
    <row r="89" spans="10:25" x14ac:dyDescent="0.2">
      <c r="J89" s="331"/>
      <c r="K89" s="331"/>
      <c r="L89" s="331"/>
      <c r="M89" s="331"/>
      <c r="N89" s="331"/>
      <c r="O89" s="331"/>
      <c r="P89" s="331"/>
      <c r="Q89" s="331"/>
      <c r="R89" s="331"/>
      <c r="S89" s="331">
        <v>102</v>
      </c>
      <c r="T89" s="331">
        <v>150</v>
      </c>
      <c r="U89" s="331"/>
      <c r="V89" s="331"/>
      <c r="W89" s="331"/>
      <c r="X89" s="331"/>
      <c r="Y89" s="121"/>
    </row>
    <row r="90" spans="10:25" x14ac:dyDescent="0.2">
      <c r="J90" s="331"/>
      <c r="K90" s="331"/>
      <c r="L90" s="331"/>
      <c r="M90" s="331"/>
      <c r="N90" s="331"/>
      <c r="O90" s="331"/>
      <c r="P90" s="331"/>
      <c r="Q90" s="331"/>
      <c r="R90" s="331"/>
      <c r="S90" s="331">
        <v>103</v>
      </c>
      <c r="T90" s="331">
        <v>150</v>
      </c>
      <c r="U90" s="331"/>
      <c r="V90" s="331"/>
      <c r="W90" s="331"/>
      <c r="X90" s="331"/>
      <c r="Y90" s="121"/>
    </row>
    <row r="91" spans="10:25" x14ac:dyDescent="0.2">
      <c r="J91" s="331"/>
      <c r="K91" s="331"/>
      <c r="L91" s="331"/>
      <c r="M91" s="331"/>
      <c r="N91" s="331"/>
      <c r="O91" s="331"/>
      <c r="P91" s="331"/>
      <c r="Q91" s="331"/>
      <c r="R91" s="331"/>
      <c r="S91" s="331">
        <v>104</v>
      </c>
      <c r="T91" s="331">
        <v>150</v>
      </c>
      <c r="U91" s="331"/>
      <c r="V91" s="331"/>
      <c r="W91" s="331"/>
      <c r="X91" s="331"/>
      <c r="Y91" s="121"/>
    </row>
    <row r="92" spans="10:25" x14ac:dyDescent="0.2">
      <c r="J92" s="331"/>
      <c r="K92" s="331"/>
      <c r="L92" s="331"/>
      <c r="M92" s="331"/>
      <c r="N92" s="331"/>
      <c r="O92" s="331"/>
      <c r="P92" s="331"/>
      <c r="Q92" s="331"/>
      <c r="R92" s="331"/>
      <c r="S92" s="331">
        <v>105</v>
      </c>
      <c r="T92" s="331">
        <v>150</v>
      </c>
      <c r="U92" s="331"/>
      <c r="V92" s="331"/>
      <c r="W92" s="331"/>
      <c r="X92" s="331"/>
      <c r="Y92" s="121"/>
    </row>
    <row r="93" spans="10:25" x14ac:dyDescent="0.2">
      <c r="J93" s="331"/>
      <c r="K93" s="331"/>
      <c r="L93" s="331"/>
      <c r="M93" s="331"/>
      <c r="N93" s="331"/>
      <c r="O93" s="331"/>
      <c r="P93" s="331"/>
      <c r="Q93" s="331"/>
      <c r="R93" s="331"/>
      <c r="S93" s="331">
        <v>106</v>
      </c>
      <c r="T93" s="331">
        <v>150</v>
      </c>
      <c r="U93" s="331"/>
      <c r="V93" s="331"/>
      <c r="W93" s="331"/>
      <c r="X93" s="331"/>
      <c r="Y93" s="121"/>
    </row>
    <row r="94" spans="10:25" x14ac:dyDescent="0.2">
      <c r="J94" s="331"/>
      <c r="K94" s="331"/>
      <c r="L94" s="331"/>
      <c r="M94" s="331"/>
      <c r="N94" s="331"/>
      <c r="O94" s="331"/>
      <c r="P94" s="331"/>
      <c r="Q94" s="331"/>
      <c r="R94" s="331"/>
      <c r="S94" s="331">
        <v>107</v>
      </c>
      <c r="T94" s="331">
        <v>150</v>
      </c>
      <c r="U94" s="331"/>
      <c r="V94" s="331"/>
      <c r="W94" s="331"/>
      <c r="X94" s="331"/>
      <c r="Y94" s="121"/>
    </row>
    <row r="95" spans="10:25" x14ac:dyDescent="0.2">
      <c r="J95" s="331"/>
      <c r="K95" s="331"/>
      <c r="L95" s="331"/>
      <c r="M95" s="331"/>
      <c r="N95" s="331"/>
      <c r="O95" s="331"/>
      <c r="P95" s="331"/>
      <c r="Q95" s="331"/>
      <c r="R95" s="331"/>
      <c r="S95" s="331">
        <v>108</v>
      </c>
      <c r="T95" s="331">
        <v>150</v>
      </c>
      <c r="U95" s="331"/>
      <c r="V95" s="331"/>
      <c r="W95" s="331"/>
      <c r="X95" s="331"/>
      <c r="Y95" s="121"/>
    </row>
    <row r="96" spans="10:25" x14ac:dyDescent="0.2">
      <c r="J96" s="331"/>
      <c r="K96" s="331"/>
      <c r="L96" s="331"/>
      <c r="M96" s="331"/>
      <c r="N96" s="331"/>
      <c r="O96" s="331"/>
      <c r="P96" s="331"/>
      <c r="Q96" s="331"/>
      <c r="R96" s="331"/>
      <c r="S96" s="331">
        <v>109</v>
      </c>
      <c r="T96" s="331">
        <v>150</v>
      </c>
      <c r="U96" s="331"/>
      <c r="V96" s="331"/>
      <c r="W96" s="331"/>
      <c r="X96" s="331"/>
      <c r="Y96" s="121"/>
    </row>
    <row r="97" spans="10:25" x14ac:dyDescent="0.2">
      <c r="J97" s="331"/>
      <c r="K97" s="331"/>
      <c r="L97" s="331"/>
      <c r="M97" s="331"/>
      <c r="N97" s="331"/>
      <c r="O97" s="331"/>
      <c r="P97" s="331"/>
      <c r="Q97" s="331"/>
      <c r="R97" s="331"/>
      <c r="S97" s="331">
        <v>110</v>
      </c>
      <c r="T97" s="331">
        <v>150</v>
      </c>
      <c r="U97" s="331"/>
      <c r="V97" s="331"/>
      <c r="W97" s="331"/>
      <c r="X97" s="331"/>
      <c r="Y97" s="121"/>
    </row>
    <row r="98" spans="10:25" x14ac:dyDescent="0.2">
      <c r="J98" s="331"/>
      <c r="K98" s="331"/>
      <c r="L98" s="331"/>
      <c r="M98" s="331"/>
      <c r="N98" s="331"/>
      <c r="O98" s="331"/>
      <c r="P98" s="331"/>
      <c r="Q98" s="331"/>
      <c r="R98" s="331"/>
      <c r="S98" s="331">
        <v>111</v>
      </c>
      <c r="T98" s="331">
        <v>150</v>
      </c>
      <c r="U98" s="331"/>
      <c r="V98" s="331"/>
      <c r="W98" s="331"/>
      <c r="X98" s="331"/>
      <c r="Y98" s="121"/>
    </row>
    <row r="99" spans="10:25" x14ac:dyDescent="0.2">
      <c r="J99" s="331"/>
      <c r="K99" s="331"/>
      <c r="L99" s="331"/>
      <c r="M99" s="331"/>
      <c r="N99" s="331"/>
      <c r="O99" s="331"/>
      <c r="P99" s="331"/>
      <c r="Q99" s="331"/>
      <c r="R99" s="331"/>
      <c r="S99" s="331">
        <v>112</v>
      </c>
      <c r="T99" s="331">
        <v>150</v>
      </c>
      <c r="U99" s="331"/>
      <c r="V99" s="331"/>
      <c r="W99" s="331"/>
      <c r="X99" s="331"/>
      <c r="Y99" s="121"/>
    </row>
    <row r="100" spans="10:25" x14ac:dyDescent="0.2">
      <c r="J100" s="331"/>
      <c r="K100" s="331"/>
      <c r="L100" s="331"/>
      <c r="M100" s="331"/>
      <c r="N100" s="331"/>
      <c r="O100" s="331"/>
      <c r="P100" s="331"/>
      <c r="Q100" s="331"/>
      <c r="R100" s="331"/>
      <c r="S100" s="331">
        <v>113</v>
      </c>
      <c r="T100" s="331">
        <v>150</v>
      </c>
      <c r="U100" s="331"/>
      <c r="V100" s="331"/>
      <c r="W100" s="331"/>
      <c r="X100" s="331"/>
      <c r="Y100" s="121"/>
    </row>
    <row r="101" spans="10:25" x14ac:dyDescent="0.2">
      <c r="J101" s="331"/>
      <c r="K101" s="331"/>
      <c r="L101" s="331"/>
      <c r="M101" s="331"/>
      <c r="N101" s="331"/>
      <c r="O101" s="331"/>
      <c r="P101" s="331"/>
      <c r="Q101" s="331"/>
      <c r="R101" s="331"/>
      <c r="S101" s="331">
        <v>114</v>
      </c>
      <c r="T101" s="331">
        <v>150</v>
      </c>
      <c r="U101" s="331"/>
      <c r="V101" s="331"/>
      <c r="W101" s="331"/>
      <c r="X101" s="331"/>
      <c r="Y101" s="121"/>
    </row>
    <row r="102" spans="10:25" x14ac:dyDescent="0.2">
      <c r="J102" s="331"/>
      <c r="K102" s="331"/>
      <c r="L102" s="331"/>
      <c r="M102" s="331"/>
      <c r="N102" s="331"/>
      <c r="O102" s="331"/>
      <c r="P102" s="331"/>
      <c r="Q102" s="331"/>
      <c r="R102" s="331"/>
      <c r="S102" s="331">
        <v>115</v>
      </c>
      <c r="T102" s="331">
        <v>150</v>
      </c>
      <c r="U102" s="331"/>
      <c r="V102" s="331"/>
      <c r="W102" s="331"/>
      <c r="X102" s="331"/>
      <c r="Y102" s="121"/>
    </row>
    <row r="103" spans="10:25" x14ac:dyDescent="0.2">
      <c r="J103" s="331"/>
      <c r="K103" s="331"/>
      <c r="L103" s="331"/>
      <c r="M103" s="331"/>
      <c r="N103" s="331"/>
      <c r="O103" s="331"/>
      <c r="P103" s="331"/>
      <c r="Q103" s="331"/>
      <c r="R103" s="331"/>
      <c r="S103" s="331">
        <v>116</v>
      </c>
      <c r="T103" s="331">
        <v>150</v>
      </c>
      <c r="U103" s="331"/>
      <c r="V103" s="331"/>
      <c r="W103" s="331"/>
      <c r="X103" s="331"/>
      <c r="Y103" s="121"/>
    </row>
    <row r="104" spans="10:25" x14ac:dyDescent="0.2">
      <c r="J104" s="331"/>
      <c r="K104" s="331"/>
      <c r="L104" s="331"/>
      <c r="M104" s="331"/>
      <c r="N104" s="331"/>
      <c r="O104" s="331"/>
      <c r="P104" s="331"/>
      <c r="Q104" s="331"/>
      <c r="R104" s="331"/>
      <c r="S104" s="331">
        <v>117</v>
      </c>
      <c r="T104" s="331">
        <v>150</v>
      </c>
      <c r="U104" s="331"/>
      <c r="V104" s="331"/>
      <c r="W104" s="331"/>
      <c r="X104" s="331"/>
      <c r="Y104" s="121"/>
    </row>
    <row r="105" spans="10:25" x14ac:dyDescent="0.2">
      <c r="J105" s="331"/>
      <c r="K105" s="331"/>
      <c r="L105" s="331"/>
      <c r="M105" s="331"/>
      <c r="N105" s="331"/>
      <c r="O105" s="331"/>
      <c r="P105" s="331"/>
      <c r="Q105" s="331"/>
      <c r="R105" s="331"/>
      <c r="S105" s="331">
        <v>118</v>
      </c>
      <c r="T105" s="331">
        <v>150</v>
      </c>
      <c r="U105" s="331"/>
      <c r="V105" s="331"/>
      <c r="W105" s="331"/>
      <c r="X105" s="331"/>
      <c r="Y105" s="121"/>
    </row>
    <row r="106" spans="10:25" x14ac:dyDescent="0.2">
      <c r="J106" s="331"/>
      <c r="K106" s="331"/>
      <c r="L106" s="331"/>
      <c r="M106" s="331"/>
      <c r="N106" s="331"/>
      <c r="O106" s="331"/>
      <c r="P106" s="331"/>
      <c r="Q106" s="331"/>
      <c r="R106" s="331"/>
      <c r="S106" s="331">
        <v>119</v>
      </c>
      <c r="T106" s="331">
        <v>150</v>
      </c>
      <c r="U106" s="331"/>
      <c r="V106" s="331"/>
      <c r="W106" s="331"/>
      <c r="X106" s="331"/>
      <c r="Y106" s="121"/>
    </row>
    <row r="107" spans="10:25" x14ac:dyDescent="0.2">
      <c r="J107" s="331"/>
      <c r="K107" s="331"/>
      <c r="L107" s="331"/>
      <c r="M107" s="331"/>
      <c r="N107" s="331"/>
      <c r="O107" s="331"/>
      <c r="P107" s="331"/>
      <c r="Q107" s="331"/>
      <c r="R107" s="331"/>
      <c r="S107" s="331">
        <v>120</v>
      </c>
      <c r="T107" s="331">
        <v>150</v>
      </c>
      <c r="U107" s="331"/>
      <c r="V107" s="331"/>
      <c r="W107" s="331"/>
      <c r="X107" s="331"/>
      <c r="Y107" s="121"/>
    </row>
    <row r="108" spans="10:25" x14ac:dyDescent="0.2">
      <c r="J108" s="331"/>
      <c r="K108" s="331"/>
      <c r="L108" s="331"/>
      <c r="M108" s="331"/>
      <c r="N108" s="331"/>
      <c r="O108" s="331"/>
      <c r="P108" s="331"/>
      <c r="Q108" s="331"/>
      <c r="R108" s="331"/>
      <c r="S108" s="331">
        <v>121</v>
      </c>
      <c r="T108" s="331">
        <v>150</v>
      </c>
      <c r="U108" s="331"/>
      <c r="V108" s="331"/>
      <c r="W108" s="331"/>
      <c r="X108" s="331"/>
      <c r="Y108" s="121"/>
    </row>
    <row r="109" spans="10:25" x14ac:dyDescent="0.2">
      <c r="J109" s="331"/>
      <c r="K109" s="331"/>
      <c r="L109" s="331"/>
      <c r="M109" s="331"/>
      <c r="N109" s="331"/>
      <c r="O109" s="331"/>
      <c r="P109" s="331"/>
      <c r="Q109" s="331"/>
      <c r="R109" s="331"/>
      <c r="S109" s="331">
        <v>122</v>
      </c>
      <c r="T109" s="331">
        <v>150</v>
      </c>
      <c r="U109" s="331"/>
      <c r="V109" s="331"/>
      <c r="W109" s="331"/>
      <c r="X109" s="331"/>
      <c r="Y109" s="121"/>
    </row>
    <row r="110" spans="10:25" x14ac:dyDescent="0.2">
      <c r="J110" s="331"/>
      <c r="K110" s="331"/>
      <c r="L110" s="331"/>
      <c r="M110" s="331"/>
      <c r="N110" s="331"/>
      <c r="O110" s="331"/>
      <c r="P110" s="331"/>
      <c r="Q110" s="331"/>
      <c r="R110" s="331"/>
      <c r="S110" s="331">
        <v>123</v>
      </c>
      <c r="T110" s="331">
        <v>150</v>
      </c>
      <c r="U110" s="331"/>
      <c r="V110" s="331"/>
      <c r="W110" s="331"/>
      <c r="X110" s="331"/>
      <c r="Y110" s="121"/>
    </row>
    <row r="111" spans="10:25" x14ac:dyDescent="0.2">
      <c r="J111" s="331"/>
      <c r="K111" s="331"/>
      <c r="L111" s="331"/>
      <c r="M111" s="331"/>
      <c r="N111" s="331"/>
      <c r="O111" s="331"/>
      <c r="P111" s="331"/>
      <c r="Q111" s="331"/>
      <c r="R111" s="331"/>
      <c r="S111" s="331">
        <v>124</v>
      </c>
      <c r="T111" s="331">
        <v>150</v>
      </c>
      <c r="U111" s="331"/>
      <c r="V111" s="331"/>
      <c r="W111" s="331"/>
      <c r="X111" s="331"/>
      <c r="Y111" s="121"/>
    </row>
    <row r="112" spans="10:25" x14ac:dyDescent="0.2">
      <c r="J112" s="331"/>
      <c r="K112" s="331"/>
      <c r="L112" s="331"/>
      <c r="M112" s="331"/>
      <c r="N112" s="331"/>
      <c r="O112" s="331"/>
      <c r="P112" s="331"/>
      <c r="Q112" s="331"/>
      <c r="R112" s="331"/>
      <c r="S112" s="331">
        <v>125</v>
      </c>
      <c r="T112" s="331">
        <v>150</v>
      </c>
      <c r="U112" s="331"/>
      <c r="V112" s="331"/>
      <c r="W112" s="331"/>
      <c r="X112" s="331"/>
      <c r="Y112" s="121"/>
    </row>
    <row r="113" spans="10:25" x14ac:dyDescent="0.2">
      <c r="J113" s="331"/>
      <c r="K113" s="331"/>
      <c r="L113" s="331"/>
      <c r="M113" s="331"/>
      <c r="N113" s="331"/>
      <c r="O113" s="331"/>
      <c r="P113" s="331"/>
      <c r="Q113" s="331"/>
      <c r="R113" s="331"/>
      <c r="S113" s="331">
        <v>126</v>
      </c>
      <c r="T113" s="331">
        <v>150</v>
      </c>
      <c r="U113" s="331"/>
      <c r="V113" s="331"/>
      <c r="W113" s="331"/>
      <c r="X113" s="331"/>
      <c r="Y113" s="121"/>
    </row>
    <row r="114" spans="10:25" x14ac:dyDescent="0.2">
      <c r="J114" s="331"/>
      <c r="K114" s="331"/>
      <c r="L114" s="331"/>
      <c r="M114" s="331"/>
      <c r="N114" s="331"/>
      <c r="O114" s="331"/>
      <c r="P114" s="331"/>
      <c r="Q114" s="331"/>
      <c r="R114" s="331"/>
      <c r="S114" s="331">
        <v>127</v>
      </c>
      <c r="T114" s="331">
        <v>150</v>
      </c>
      <c r="U114" s="331"/>
      <c r="V114" s="331"/>
      <c r="W114" s="331"/>
      <c r="X114" s="331"/>
      <c r="Y114" s="121"/>
    </row>
    <row r="115" spans="10:25" x14ac:dyDescent="0.2">
      <c r="J115" s="331"/>
      <c r="K115" s="331"/>
      <c r="L115" s="331"/>
      <c r="M115" s="331"/>
      <c r="N115" s="331"/>
      <c r="O115" s="331"/>
      <c r="P115" s="331"/>
      <c r="Q115" s="331"/>
      <c r="R115" s="331"/>
      <c r="S115" s="331">
        <v>128</v>
      </c>
      <c r="T115" s="331">
        <v>150</v>
      </c>
      <c r="U115" s="331"/>
      <c r="V115" s="331"/>
      <c r="W115" s="331"/>
      <c r="X115" s="331"/>
      <c r="Y115" s="121"/>
    </row>
    <row r="116" spans="10:25" x14ac:dyDescent="0.2">
      <c r="J116" s="331"/>
      <c r="K116" s="331"/>
      <c r="L116" s="331"/>
      <c r="M116" s="331"/>
      <c r="N116" s="331"/>
      <c r="O116" s="331"/>
      <c r="P116" s="331"/>
      <c r="Q116" s="331"/>
      <c r="R116" s="331"/>
      <c r="S116" s="331">
        <v>129</v>
      </c>
      <c r="T116" s="331">
        <v>150</v>
      </c>
      <c r="U116" s="331"/>
      <c r="V116" s="331"/>
      <c r="W116" s="331"/>
      <c r="X116" s="331"/>
      <c r="Y116" s="121"/>
    </row>
    <row r="117" spans="10:25" x14ac:dyDescent="0.2">
      <c r="J117" s="331"/>
      <c r="K117" s="331"/>
      <c r="L117" s="331"/>
      <c r="M117" s="331"/>
      <c r="N117" s="331"/>
      <c r="O117" s="331"/>
      <c r="P117" s="331"/>
      <c r="Q117" s="331"/>
      <c r="R117" s="331"/>
      <c r="S117" s="331">
        <v>130</v>
      </c>
      <c r="T117" s="331">
        <v>150</v>
      </c>
      <c r="U117" s="331"/>
      <c r="V117" s="331"/>
      <c r="W117" s="331"/>
      <c r="X117" s="331"/>
      <c r="Y117" s="121"/>
    </row>
    <row r="118" spans="10:25" x14ac:dyDescent="0.2">
      <c r="J118" s="331"/>
      <c r="K118" s="331"/>
      <c r="L118" s="331"/>
      <c r="M118" s="331"/>
      <c r="N118" s="331"/>
      <c r="O118" s="331"/>
      <c r="P118" s="331"/>
      <c r="Q118" s="331"/>
      <c r="R118" s="331"/>
      <c r="S118" s="331">
        <v>131</v>
      </c>
      <c r="T118" s="331">
        <v>150</v>
      </c>
      <c r="U118" s="331"/>
      <c r="V118" s="331"/>
      <c r="W118" s="331"/>
      <c r="X118" s="331"/>
      <c r="Y118" s="121"/>
    </row>
    <row r="119" spans="10:25" x14ac:dyDescent="0.2">
      <c r="J119" s="331"/>
      <c r="K119" s="331"/>
      <c r="L119" s="331"/>
      <c r="M119" s="331"/>
      <c r="N119" s="331"/>
      <c r="O119" s="331"/>
      <c r="P119" s="331"/>
      <c r="Q119" s="331"/>
      <c r="R119" s="331"/>
      <c r="S119" s="331">
        <v>132</v>
      </c>
      <c r="T119" s="331">
        <v>150</v>
      </c>
      <c r="U119" s="331"/>
      <c r="V119" s="331"/>
      <c r="W119" s="331"/>
      <c r="X119" s="331"/>
      <c r="Y119" s="121"/>
    </row>
    <row r="120" spans="10:25" x14ac:dyDescent="0.2">
      <c r="J120" s="331"/>
      <c r="K120" s="331"/>
      <c r="L120" s="331"/>
      <c r="M120" s="331"/>
      <c r="N120" s="331"/>
      <c r="O120" s="331"/>
      <c r="P120" s="331"/>
      <c r="Q120" s="331"/>
      <c r="R120" s="331"/>
      <c r="S120" s="331">
        <v>133</v>
      </c>
      <c r="T120" s="331">
        <v>150</v>
      </c>
      <c r="U120" s="331"/>
      <c r="V120" s="331"/>
      <c r="W120" s="331"/>
      <c r="X120" s="331"/>
      <c r="Y120" s="121"/>
    </row>
    <row r="121" spans="10:25" x14ac:dyDescent="0.2">
      <c r="J121" s="331"/>
      <c r="K121" s="331"/>
      <c r="L121" s="331"/>
      <c r="M121" s="331"/>
      <c r="N121" s="331"/>
      <c r="O121" s="331"/>
      <c r="P121" s="331"/>
      <c r="Q121" s="331"/>
      <c r="R121" s="331"/>
      <c r="S121" s="331">
        <v>134</v>
      </c>
      <c r="T121" s="331">
        <v>150</v>
      </c>
      <c r="U121" s="331"/>
      <c r="V121" s="331"/>
      <c r="W121" s="331"/>
      <c r="X121" s="331"/>
      <c r="Y121" s="121"/>
    </row>
    <row r="122" spans="10:25" x14ac:dyDescent="0.2">
      <c r="J122" s="331"/>
      <c r="K122" s="331"/>
      <c r="L122" s="331"/>
      <c r="M122" s="331"/>
      <c r="N122" s="331"/>
      <c r="O122" s="331"/>
      <c r="P122" s="331"/>
      <c r="Q122" s="331"/>
      <c r="R122" s="331"/>
      <c r="S122" s="331">
        <v>135</v>
      </c>
      <c r="T122" s="331">
        <v>150</v>
      </c>
      <c r="U122" s="331"/>
      <c r="V122" s="331"/>
      <c r="W122" s="331"/>
      <c r="X122" s="331"/>
      <c r="Y122" s="121"/>
    </row>
    <row r="123" spans="10:25" x14ac:dyDescent="0.2">
      <c r="J123" s="331"/>
      <c r="K123" s="331"/>
      <c r="L123" s="331"/>
      <c r="M123" s="331"/>
      <c r="N123" s="331"/>
      <c r="O123" s="331"/>
      <c r="P123" s="331"/>
      <c r="Q123" s="331"/>
      <c r="R123" s="331"/>
      <c r="S123" s="331">
        <v>136</v>
      </c>
      <c r="T123" s="331">
        <v>150</v>
      </c>
      <c r="U123" s="331"/>
      <c r="V123" s="331"/>
      <c r="W123" s="331"/>
      <c r="X123" s="331"/>
      <c r="Y123" s="121"/>
    </row>
    <row r="124" spans="10:25" x14ac:dyDescent="0.2">
      <c r="J124" s="331"/>
      <c r="K124" s="331"/>
      <c r="L124" s="331"/>
      <c r="M124" s="331"/>
      <c r="N124" s="331"/>
      <c r="O124" s="331"/>
      <c r="P124" s="331"/>
      <c r="Q124" s="331"/>
      <c r="R124" s="331"/>
      <c r="S124" s="331">
        <v>137</v>
      </c>
      <c r="T124" s="331">
        <v>150</v>
      </c>
      <c r="U124" s="331"/>
      <c r="V124" s="331"/>
      <c r="W124" s="331"/>
      <c r="X124" s="331"/>
      <c r="Y124" s="121"/>
    </row>
    <row r="125" spans="10:25" x14ac:dyDescent="0.2">
      <c r="J125" s="331"/>
      <c r="K125" s="331"/>
      <c r="L125" s="331"/>
      <c r="M125" s="331"/>
      <c r="N125" s="331"/>
      <c r="O125" s="331"/>
      <c r="P125" s="331"/>
      <c r="Q125" s="331"/>
      <c r="R125" s="331"/>
      <c r="S125" s="331">
        <v>138</v>
      </c>
      <c r="T125" s="331">
        <v>150</v>
      </c>
      <c r="U125" s="331"/>
      <c r="V125" s="331"/>
      <c r="W125" s="331"/>
      <c r="X125" s="331"/>
      <c r="Y125" s="121"/>
    </row>
    <row r="126" spans="10:25" x14ac:dyDescent="0.2">
      <c r="J126" s="331"/>
      <c r="K126" s="331"/>
      <c r="L126" s="331"/>
      <c r="M126" s="331"/>
      <c r="N126" s="331"/>
      <c r="O126" s="331"/>
      <c r="P126" s="331"/>
      <c r="Q126" s="331"/>
      <c r="R126" s="331"/>
      <c r="S126" s="331">
        <v>139</v>
      </c>
      <c r="T126" s="331">
        <v>150</v>
      </c>
      <c r="U126" s="331"/>
      <c r="V126" s="331"/>
      <c r="W126" s="331"/>
      <c r="X126" s="331"/>
      <c r="Y126" s="121"/>
    </row>
    <row r="127" spans="10:25" x14ac:dyDescent="0.2">
      <c r="J127" s="331"/>
      <c r="K127" s="331"/>
      <c r="L127" s="331"/>
      <c r="M127" s="331"/>
      <c r="N127" s="331"/>
      <c r="O127" s="331"/>
      <c r="P127" s="331"/>
      <c r="Q127" s="331"/>
      <c r="R127" s="331"/>
      <c r="S127" s="331">
        <v>140</v>
      </c>
      <c r="T127" s="331">
        <v>150</v>
      </c>
      <c r="U127" s="331"/>
      <c r="V127" s="331"/>
      <c r="W127" s="331"/>
      <c r="X127" s="331"/>
      <c r="Y127" s="121"/>
    </row>
    <row r="128" spans="10:25" x14ac:dyDescent="0.2">
      <c r="J128" s="331"/>
      <c r="K128" s="331"/>
      <c r="L128" s="331"/>
      <c r="M128" s="331"/>
      <c r="N128" s="331"/>
      <c r="O128" s="331"/>
      <c r="P128" s="331"/>
      <c r="Q128" s="331"/>
      <c r="R128" s="331"/>
      <c r="S128" s="331">
        <v>141</v>
      </c>
      <c r="T128" s="331">
        <v>150</v>
      </c>
      <c r="U128" s="331"/>
      <c r="V128" s="331"/>
      <c r="W128" s="331"/>
      <c r="X128" s="331"/>
      <c r="Y128" s="121"/>
    </row>
    <row r="129" spans="10:25" x14ac:dyDescent="0.2">
      <c r="J129" s="331"/>
      <c r="K129" s="331"/>
      <c r="L129" s="331"/>
      <c r="M129" s="331"/>
      <c r="N129" s="331"/>
      <c r="O129" s="331"/>
      <c r="P129" s="331"/>
      <c r="Q129" s="331"/>
      <c r="R129" s="331"/>
      <c r="S129" s="331">
        <v>142</v>
      </c>
      <c r="T129" s="331">
        <v>150</v>
      </c>
      <c r="U129" s="331"/>
      <c r="V129" s="331"/>
      <c r="W129" s="331"/>
      <c r="X129" s="331"/>
      <c r="Y129" s="121"/>
    </row>
    <row r="130" spans="10:25" x14ac:dyDescent="0.2">
      <c r="J130" s="331"/>
      <c r="K130" s="331"/>
      <c r="L130" s="331"/>
      <c r="M130" s="331"/>
      <c r="N130" s="331"/>
      <c r="O130" s="331"/>
      <c r="P130" s="331"/>
      <c r="Q130" s="331"/>
      <c r="R130" s="331"/>
      <c r="S130" s="331">
        <v>143</v>
      </c>
      <c r="T130" s="331">
        <v>150</v>
      </c>
      <c r="U130" s="331"/>
      <c r="V130" s="331"/>
      <c r="W130" s="331"/>
      <c r="X130" s="331"/>
      <c r="Y130" s="121"/>
    </row>
    <row r="131" spans="10:25" x14ac:dyDescent="0.2">
      <c r="J131" s="331"/>
      <c r="K131" s="331"/>
      <c r="L131" s="331"/>
      <c r="M131" s="331"/>
      <c r="N131" s="331"/>
      <c r="O131" s="331"/>
      <c r="P131" s="331"/>
      <c r="Q131" s="331"/>
      <c r="R131" s="331"/>
      <c r="S131" s="331">
        <v>144</v>
      </c>
      <c r="T131" s="331">
        <v>150</v>
      </c>
      <c r="U131" s="331"/>
      <c r="V131" s="331"/>
      <c r="W131" s="331"/>
      <c r="X131" s="331"/>
      <c r="Y131" s="121"/>
    </row>
    <row r="132" spans="10:25" x14ac:dyDescent="0.2">
      <c r="J132" s="331"/>
      <c r="K132" s="331"/>
      <c r="L132" s="331"/>
      <c r="M132" s="331"/>
      <c r="N132" s="331"/>
      <c r="O132" s="331"/>
      <c r="P132" s="331"/>
      <c r="Q132" s="331"/>
      <c r="R132" s="331"/>
      <c r="S132" s="331">
        <v>145</v>
      </c>
      <c r="T132" s="331">
        <v>150</v>
      </c>
      <c r="U132" s="331"/>
      <c r="V132" s="331"/>
      <c r="W132" s="331"/>
      <c r="X132" s="331"/>
      <c r="Y132" s="121"/>
    </row>
    <row r="133" spans="10:25" x14ac:dyDescent="0.2">
      <c r="J133" s="331"/>
      <c r="K133" s="331"/>
      <c r="L133" s="331"/>
      <c r="M133" s="331"/>
      <c r="N133" s="331"/>
      <c r="O133" s="331"/>
      <c r="P133" s="331"/>
      <c r="Q133" s="331"/>
      <c r="R133" s="331"/>
      <c r="S133" s="331">
        <v>146</v>
      </c>
      <c r="T133" s="331">
        <v>150</v>
      </c>
      <c r="U133" s="331"/>
      <c r="V133" s="331"/>
      <c r="W133" s="331"/>
      <c r="X133" s="331"/>
      <c r="Y133" s="121"/>
    </row>
    <row r="134" spans="10:25" x14ac:dyDescent="0.2">
      <c r="J134" s="331"/>
      <c r="K134" s="331"/>
      <c r="L134" s="331"/>
      <c r="M134" s="331"/>
      <c r="N134" s="331"/>
      <c r="O134" s="331"/>
      <c r="P134" s="331"/>
      <c r="Q134" s="331"/>
      <c r="R134" s="331"/>
      <c r="S134" s="331">
        <v>147</v>
      </c>
      <c r="T134" s="331">
        <v>150</v>
      </c>
      <c r="U134" s="331"/>
      <c r="V134" s="331"/>
      <c r="W134" s="331"/>
      <c r="X134" s="331"/>
      <c r="Y134" s="121"/>
    </row>
    <row r="135" spans="10:25" x14ac:dyDescent="0.2">
      <c r="J135" s="331"/>
      <c r="K135" s="331"/>
      <c r="L135" s="331"/>
      <c r="M135" s="331"/>
      <c r="N135" s="331"/>
      <c r="O135" s="331"/>
      <c r="P135" s="331"/>
      <c r="Q135" s="331"/>
      <c r="R135" s="331"/>
      <c r="S135" s="331">
        <v>148</v>
      </c>
      <c r="T135" s="331">
        <v>150</v>
      </c>
      <c r="U135" s="331"/>
      <c r="V135" s="331"/>
      <c r="W135" s="331"/>
      <c r="X135" s="331"/>
      <c r="Y135" s="121"/>
    </row>
    <row r="136" spans="10:25" x14ac:dyDescent="0.2">
      <c r="J136" s="331"/>
      <c r="K136" s="331"/>
      <c r="L136" s="331"/>
      <c r="M136" s="331"/>
      <c r="N136" s="331"/>
      <c r="O136" s="331"/>
      <c r="P136" s="331"/>
      <c r="Q136" s="331"/>
      <c r="R136" s="331"/>
      <c r="S136" s="331">
        <v>149</v>
      </c>
      <c r="T136" s="331">
        <v>150</v>
      </c>
      <c r="U136" s="331"/>
      <c r="V136" s="331"/>
      <c r="W136" s="331"/>
      <c r="X136" s="331"/>
      <c r="Y136" s="121"/>
    </row>
    <row r="137" spans="10:25" x14ac:dyDescent="0.2">
      <c r="J137" s="331"/>
      <c r="K137" s="331"/>
      <c r="L137" s="331"/>
      <c r="M137" s="331"/>
      <c r="N137" s="331"/>
      <c r="O137" s="331"/>
      <c r="P137" s="331"/>
      <c r="Q137" s="331"/>
      <c r="R137" s="331"/>
      <c r="S137" s="331">
        <v>150</v>
      </c>
      <c r="T137" s="331">
        <v>150</v>
      </c>
      <c r="U137" s="331">
        <v>150</v>
      </c>
      <c r="V137" s="331"/>
      <c r="W137" s="331"/>
      <c r="X137" s="331"/>
      <c r="Y137" s="121"/>
    </row>
    <row r="138" spans="10:25" x14ac:dyDescent="0.2">
      <c r="J138" s="331"/>
      <c r="K138" s="331"/>
      <c r="L138" s="331"/>
      <c r="M138" s="331"/>
      <c r="N138" s="331"/>
      <c r="O138" s="331"/>
      <c r="P138" s="331"/>
      <c r="Q138" s="331"/>
      <c r="R138" s="331"/>
      <c r="S138" s="331">
        <v>151</v>
      </c>
      <c r="T138" s="331">
        <v>150</v>
      </c>
      <c r="U138" s="331"/>
      <c r="V138" s="331"/>
      <c r="W138" s="331"/>
      <c r="X138" s="331"/>
      <c r="Y138" s="121"/>
    </row>
    <row r="139" spans="10:25" x14ac:dyDescent="0.2">
      <c r="J139" s="331"/>
      <c r="K139" s="331"/>
      <c r="L139" s="331"/>
      <c r="M139" s="331"/>
      <c r="N139" s="331"/>
      <c r="O139" s="331"/>
      <c r="P139" s="331"/>
      <c r="Q139" s="331"/>
      <c r="R139" s="331"/>
      <c r="S139" s="331">
        <v>152</v>
      </c>
      <c r="T139" s="331">
        <v>150</v>
      </c>
      <c r="U139" s="331"/>
      <c r="V139" s="331"/>
      <c r="W139" s="331"/>
      <c r="X139" s="331"/>
      <c r="Y139" s="121"/>
    </row>
    <row r="140" spans="10:25" x14ac:dyDescent="0.2">
      <c r="J140" s="331"/>
      <c r="K140" s="331"/>
      <c r="L140" s="331"/>
      <c r="M140" s="331"/>
      <c r="N140" s="331"/>
      <c r="O140" s="331"/>
      <c r="P140" s="331"/>
      <c r="Q140" s="331"/>
      <c r="R140" s="331"/>
      <c r="S140" s="331">
        <v>153</v>
      </c>
      <c r="T140" s="331">
        <v>150</v>
      </c>
      <c r="U140" s="331"/>
      <c r="V140" s="331"/>
      <c r="W140" s="331"/>
      <c r="X140" s="331"/>
      <c r="Y140" s="121"/>
    </row>
    <row r="141" spans="10:25" x14ac:dyDescent="0.2">
      <c r="J141" s="331"/>
      <c r="K141" s="331"/>
      <c r="L141" s="331"/>
      <c r="M141" s="331"/>
      <c r="N141" s="331"/>
      <c r="O141" s="331"/>
      <c r="P141" s="331"/>
      <c r="Q141" s="331"/>
      <c r="R141" s="331"/>
      <c r="S141" s="331">
        <v>154</v>
      </c>
      <c r="T141" s="331">
        <v>150</v>
      </c>
      <c r="U141" s="331"/>
      <c r="V141" s="331"/>
      <c r="W141" s="331"/>
      <c r="X141" s="331"/>
      <c r="Y141" s="121"/>
    </row>
    <row r="142" spans="10:25" x14ac:dyDescent="0.2">
      <c r="J142" s="331"/>
      <c r="K142" s="331"/>
      <c r="L142" s="331"/>
      <c r="M142" s="331"/>
      <c r="N142" s="331"/>
      <c r="O142" s="331"/>
      <c r="P142" s="331"/>
      <c r="Q142" s="331"/>
      <c r="R142" s="331"/>
      <c r="S142" s="331">
        <v>155</v>
      </c>
      <c r="T142" s="331">
        <v>150</v>
      </c>
      <c r="U142" s="331"/>
      <c r="V142" s="331"/>
      <c r="W142" s="331"/>
      <c r="X142" s="331"/>
      <c r="Y142" s="121"/>
    </row>
    <row r="143" spans="10:25" x14ac:dyDescent="0.2">
      <c r="J143" s="331"/>
      <c r="K143" s="331"/>
      <c r="L143" s="331"/>
      <c r="M143" s="331"/>
      <c r="N143" s="331"/>
      <c r="O143" s="331"/>
      <c r="P143" s="331"/>
      <c r="Q143" s="331"/>
      <c r="R143" s="331"/>
      <c r="S143" s="331">
        <v>156</v>
      </c>
      <c r="T143" s="331">
        <v>150</v>
      </c>
      <c r="U143" s="331"/>
      <c r="V143" s="331"/>
      <c r="W143" s="331"/>
      <c r="X143" s="331"/>
      <c r="Y143" s="121"/>
    </row>
    <row r="144" spans="10:25" x14ac:dyDescent="0.2">
      <c r="J144" s="331"/>
      <c r="K144" s="331"/>
      <c r="L144" s="331"/>
      <c r="M144" s="331"/>
      <c r="N144" s="331"/>
      <c r="O144" s="331"/>
      <c r="P144" s="331"/>
      <c r="Q144" s="331"/>
      <c r="R144" s="331"/>
      <c r="S144" s="331">
        <v>157</v>
      </c>
      <c r="T144" s="331">
        <v>150</v>
      </c>
      <c r="U144" s="331"/>
      <c r="V144" s="331"/>
      <c r="W144" s="331"/>
      <c r="X144" s="331"/>
      <c r="Y144" s="121"/>
    </row>
    <row r="145" spans="10:25" x14ac:dyDescent="0.2">
      <c r="J145" s="331"/>
      <c r="K145" s="331"/>
      <c r="L145" s="331"/>
      <c r="M145" s="331"/>
      <c r="N145" s="331"/>
      <c r="O145" s="331"/>
      <c r="P145" s="331"/>
      <c r="Q145" s="331"/>
      <c r="R145" s="331"/>
      <c r="S145" s="331">
        <v>158</v>
      </c>
      <c r="T145" s="331">
        <v>150</v>
      </c>
      <c r="U145" s="331"/>
      <c r="V145" s="331"/>
      <c r="W145" s="331"/>
      <c r="X145" s="331"/>
      <c r="Y145" s="121"/>
    </row>
    <row r="146" spans="10:25" x14ac:dyDescent="0.2">
      <c r="J146" s="331"/>
      <c r="K146" s="331"/>
      <c r="L146" s="331"/>
      <c r="M146" s="331"/>
      <c r="N146" s="331"/>
      <c r="O146" s="331"/>
      <c r="P146" s="331"/>
      <c r="Q146" s="331"/>
      <c r="R146" s="331"/>
      <c r="S146" s="331">
        <v>159</v>
      </c>
      <c r="T146" s="331">
        <v>150</v>
      </c>
      <c r="U146" s="331"/>
      <c r="V146" s="331"/>
      <c r="W146" s="331"/>
      <c r="X146" s="331"/>
      <c r="Y146" s="121"/>
    </row>
    <row r="147" spans="10:25" x14ac:dyDescent="0.2">
      <c r="J147" s="331"/>
      <c r="K147" s="331"/>
      <c r="L147" s="331"/>
      <c r="M147" s="331"/>
      <c r="N147" s="331"/>
      <c r="O147" s="331"/>
      <c r="P147" s="331"/>
      <c r="Q147" s="331"/>
      <c r="R147" s="331"/>
      <c r="S147" s="331">
        <v>160</v>
      </c>
      <c r="T147" s="331">
        <v>150</v>
      </c>
      <c r="U147" s="331"/>
      <c r="V147" s="331"/>
      <c r="W147" s="331"/>
      <c r="X147" s="331"/>
      <c r="Y147" s="121"/>
    </row>
    <row r="148" spans="10:25" x14ac:dyDescent="0.2">
      <c r="J148" s="331"/>
      <c r="K148" s="331"/>
      <c r="L148" s="331"/>
      <c r="M148" s="331"/>
      <c r="N148" s="331"/>
      <c r="O148" s="331"/>
      <c r="P148" s="331"/>
      <c r="Q148" s="331"/>
      <c r="R148" s="331"/>
      <c r="S148" s="331">
        <v>161</v>
      </c>
      <c r="T148" s="331">
        <v>150</v>
      </c>
      <c r="U148" s="331"/>
      <c r="V148" s="331"/>
      <c r="W148" s="331"/>
      <c r="X148" s="331"/>
      <c r="Y148" s="121"/>
    </row>
    <row r="149" spans="10:25" x14ac:dyDescent="0.2">
      <c r="J149" s="331"/>
      <c r="K149" s="331"/>
      <c r="L149" s="331"/>
      <c r="M149" s="331"/>
      <c r="N149" s="331"/>
      <c r="O149" s="331"/>
      <c r="P149" s="331"/>
      <c r="Q149" s="331"/>
      <c r="R149" s="331"/>
      <c r="S149" s="331">
        <v>162</v>
      </c>
      <c r="T149" s="331">
        <v>150</v>
      </c>
      <c r="U149" s="331"/>
      <c r="V149" s="331"/>
      <c r="W149" s="331"/>
      <c r="X149" s="331"/>
      <c r="Y149" s="121"/>
    </row>
    <row r="150" spans="10:25" x14ac:dyDescent="0.2">
      <c r="J150" s="331"/>
      <c r="K150" s="331"/>
      <c r="L150" s="331"/>
      <c r="M150" s="331"/>
      <c r="N150" s="331"/>
      <c r="O150" s="331"/>
      <c r="P150" s="331"/>
      <c r="Q150" s="331"/>
      <c r="R150" s="331"/>
      <c r="S150" s="331">
        <v>163</v>
      </c>
      <c r="T150" s="331">
        <v>150</v>
      </c>
      <c r="U150" s="331"/>
      <c r="V150" s="331"/>
      <c r="W150" s="331"/>
      <c r="X150" s="331"/>
      <c r="Y150" s="121"/>
    </row>
    <row r="151" spans="10:25" x14ac:dyDescent="0.2">
      <c r="J151" s="331"/>
      <c r="K151" s="331"/>
      <c r="L151" s="331"/>
      <c r="M151" s="331"/>
      <c r="N151" s="331"/>
      <c r="O151" s="331"/>
      <c r="P151" s="331"/>
      <c r="Q151" s="331"/>
      <c r="R151" s="331"/>
      <c r="S151" s="331">
        <v>164</v>
      </c>
      <c r="T151" s="331">
        <v>150</v>
      </c>
      <c r="U151" s="331"/>
      <c r="V151" s="331"/>
      <c r="W151" s="331"/>
      <c r="X151" s="331"/>
      <c r="Y151" s="121"/>
    </row>
    <row r="152" spans="10:25" x14ac:dyDescent="0.2">
      <c r="J152" s="331"/>
      <c r="K152" s="331"/>
      <c r="L152" s="331"/>
      <c r="M152" s="331"/>
      <c r="N152" s="331"/>
      <c r="O152" s="331"/>
      <c r="P152" s="331"/>
      <c r="Q152" s="331"/>
      <c r="R152" s="331"/>
      <c r="S152" s="331">
        <v>165</v>
      </c>
      <c r="T152" s="331">
        <v>150</v>
      </c>
      <c r="U152" s="331"/>
      <c r="V152" s="331"/>
      <c r="W152" s="331"/>
      <c r="X152" s="331"/>
      <c r="Y152" s="121"/>
    </row>
    <row r="153" spans="10:25" x14ac:dyDescent="0.2">
      <c r="J153" s="331"/>
      <c r="K153" s="331"/>
      <c r="L153" s="331"/>
      <c r="M153" s="331"/>
      <c r="N153" s="331"/>
      <c r="O153" s="331"/>
      <c r="P153" s="331"/>
      <c r="Q153" s="331"/>
      <c r="R153" s="331"/>
      <c r="S153" s="331">
        <v>166</v>
      </c>
      <c r="T153" s="331">
        <v>150</v>
      </c>
      <c r="U153" s="331"/>
      <c r="V153" s="331"/>
      <c r="W153" s="331"/>
      <c r="X153" s="331"/>
      <c r="Y153" s="121"/>
    </row>
    <row r="154" spans="10:25" x14ac:dyDescent="0.2">
      <c r="J154" s="331"/>
      <c r="K154" s="331"/>
      <c r="L154" s="331"/>
      <c r="M154" s="331"/>
      <c r="N154" s="331"/>
      <c r="O154" s="331"/>
      <c r="P154" s="331"/>
      <c r="Q154" s="331"/>
      <c r="R154" s="331"/>
      <c r="S154" s="331">
        <v>167</v>
      </c>
      <c r="T154" s="331">
        <v>150</v>
      </c>
      <c r="U154" s="331"/>
      <c r="V154" s="331"/>
      <c r="W154" s="331"/>
      <c r="X154" s="331"/>
      <c r="Y154" s="121"/>
    </row>
    <row r="155" spans="10:25" x14ac:dyDescent="0.2">
      <c r="J155" s="331"/>
      <c r="K155" s="331"/>
      <c r="L155" s="331"/>
      <c r="M155" s="331"/>
      <c r="N155" s="331"/>
      <c r="O155" s="331"/>
      <c r="P155" s="331"/>
      <c r="Q155" s="331"/>
      <c r="R155" s="331"/>
      <c r="S155" s="331">
        <v>168</v>
      </c>
      <c r="T155" s="331">
        <v>150</v>
      </c>
      <c r="U155" s="331"/>
      <c r="V155" s="331"/>
      <c r="W155" s="331"/>
      <c r="X155" s="331"/>
      <c r="Y155" s="121"/>
    </row>
    <row r="156" spans="10:25" x14ac:dyDescent="0.2">
      <c r="J156" s="331"/>
      <c r="K156" s="331"/>
      <c r="L156" s="331"/>
      <c r="M156" s="331"/>
      <c r="N156" s="331"/>
      <c r="O156" s="331"/>
      <c r="P156" s="331"/>
      <c r="Q156" s="331"/>
      <c r="R156" s="331"/>
      <c r="S156" s="331">
        <v>169</v>
      </c>
      <c r="T156" s="331">
        <v>150</v>
      </c>
      <c r="U156" s="331"/>
      <c r="V156" s="331"/>
      <c r="W156" s="331"/>
      <c r="X156" s="331"/>
      <c r="Y156" s="121"/>
    </row>
    <row r="157" spans="10:25" x14ac:dyDescent="0.2">
      <c r="J157" s="331"/>
      <c r="K157" s="331"/>
      <c r="L157" s="331"/>
      <c r="M157" s="331"/>
      <c r="N157" s="331"/>
      <c r="O157" s="331"/>
      <c r="P157" s="331"/>
      <c r="Q157" s="331"/>
      <c r="R157" s="331"/>
      <c r="S157" s="331">
        <v>170</v>
      </c>
      <c r="T157" s="331">
        <v>150</v>
      </c>
      <c r="U157" s="331"/>
      <c r="V157" s="331"/>
      <c r="W157" s="331"/>
      <c r="X157" s="331"/>
      <c r="Y157" s="121"/>
    </row>
    <row r="158" spans="10:25" x14ac:dyDescent="0.2">
      <c r="J158" s="331"/>
      <c r="K158" s="331"/>
      <c r="L158" s="331"/>
      <c r="M158" s="331"/>
      <c r="N158" s="331"/>
      <c r="O158" s="331"/>
      <c r="P158" s="331"/>
      <c r="Q158" s="331"/>
      <c r="R158" s="331"/>
      <c r="S158" s="331">
        <v>171</v>
      </c>
      <c r="T158" s="331">
        <v>150</v>
      </c>
      <c r="U158" s="331"/>
      <c r="V158" s="331"/>
      <c r="W158" s="331"/>
      <c r="X158" s="331"/>
      <c r="Y158" s="121"/>
    </row>
    <row r="159" spans="10:25" x14ac:dyDescent="0.2">
      <c r="J159" s="331"/>
      <c r="K159" s="331"/>
      <c r="L159" s="331"/>
      <c r="M159" s="331"/>
      <c r="N159" s="331"/>
      <c r="O159" s="331"/>
      <c r="P159" s="331"/>
      <c r="Q159" s="331"/>
      <c r="R159" s="331"/>
      <c r="S159" s="331">
        <v>172</v>
      </c>
      <c r="T159" s="331">
        <v>150</v>
      </c>
      <c r="U159" s="331"/>
      <c r="V159" s="331"/>
      <c r="W159" s="331"/>
      <c r="X159" s="331"/>
      <c r="Y159" s="121"/>
    </row>
    <row r="160" spans="10:25" x14ac:dyDescent="0.2">
      <c r="J160" s="331"/>
      <c r="K160" s="331"/>
      <c r="L160" s="331"/>
      <c r="M160" s="331"/>
      <c r="N160" s="331"/>
      <c r="O160" s="331"/>
      <c r="P160" s="331"/>
      <c r="Q160" s="331"/>
      <c r="R160" s="331"/>
      <c r="S160" s="331">
        <v>173</v>
      </c>
      <c r="T160" s="331">
        <v>150</v>
      </c>
      <c r="U160" s="331"/>
      <c r="V160" s="331"/>
      <c r="W160" s="331"/>
      <c r="X160" s="331"/>
      <c r="Y160" s="121"/>
    </row>
    <row r="161" spans="10:25" x14ac:dyDescent="0.2">
      <c r="J161" s="331"/>
      <c r="K161" s="331"/>
      <c r="L161" s="331"/>
      <c r="M161" s="331"/>
      <c r="N161" s="331"/>
      <c r="O161" s="331"/>
      <c r="P161" s="331"/>
      <c r="Q161" s="331"/>
      <c r="R161" s="331"/>
      <c r="S161" s="331">
        <v>174</v>
      </c>
      <c r="T161" s="331">
        <v>150</v>
      </c>
      <c r="U161" s="331"/>
      <c r="V161" s="331"/>
      <c r="W161" s="331"/>
      <c r="X161" s="331"/>
      <c r="Y161" s="121"/>
    </row>
    <row r="162" spans="10:25" x14ac:dyDescent="0.2">
      <c r="J162" s="331"/>
      <c r="K162" s="331"/>
      <c r="L162" s="331"/>
      <c r="M162" s="331"/>
      <c r="N162" s="331"/>
      <c r="O162" s="331"/>
      <c r="P162" s="331"/>
      <c r="Q162" s="331"/>
      <c r="R162" s="331"/>
      <c r="S162" s="331">
        <v>175</v>
      </c>
      <c r="T162" s="331">
        <v>150</v>
      </c>
      <c r="U162" s="331"/>
      <c r="V162" s="331"/>
      <c r="W162" s="331"/>
      <c r="X162" s="331"/>
      <c r="Y162" s="121"/>
    </row>
    <row r="163" spans="10:25" x14ac:dyDescent="0.2">
      <c r="J163" s="331"/>
      <c r="K163" s="331"/>
      <c r="L163" s="331"/>
      <c r="M163" s="331"/>
      <c r="N163" s="331"/>
      <c r="O163" s="331"/>
      <c r="P163" s="331"/>
      <c r="Q163" s="331"/>
      <c r="R163" s="331"/>
      <c r="S163" s="331">
        <v>176</v>
      </c>
      <c r="T163" s="331">
        <v>150</v>
      </c>
      <c r="U163" s="331"/>
      <c r="V163" s="331"/>
      <c r="W163" s="331"/>
      <c r="X163" s="331"/>
      <c r="Y163" s="121"/>
    </row>
    <row r="164" spans="10:25" x14ac:dyDescent="0.2">
      <c r="J164" s="331"/>
      <c r="K164" s="331"/>
      <c r="L164" s="331"/>
      <c r="M164" s="331"/>
      <c r="N164" s="331"/>
      <c r="O164" s="331"/>
      <c r="P164" s="331"/>
      <c r="Q164" s="331"/>
      <c r="R164" s="331"/>
      <c r="S164" s="331">
        <v>177</v>
      </c>
      <c r="T164" s="331">
        <v>150</v>
      </c>
      <c r="U164" s="331"/>
      <c r="V164" s="331"/>
      <c r="W164" s="331"/>
      <c r="X164" s="331"/>
      <c r="Y164" s="121"/>
    </row>
    <row r="165" spans="10:25" x14ac:dyDescent="0.2">
      <c r="J165" s="331"/>
      <c r="K165" s="331"/>
      <c r="L165" s="331"/>
      <c r="M165" s="331"/>
      <c r="N165" s="331"/>
      <c r="O165" s="331"/>
      <c r="P165" s="331"/>
      <c r="Q165" s="331"/>
      <c r="R165" s="331"/>
      <c r="S165" s="331">
        <v>178</v>
      </c>
      <c r="T165" s="331">
        <v>150</v>
      </c>
      <c r="U165" s="331"/>
      <c r="V165" s="331"/>
      <c r="W165" s="331"/>
      <c r="X165" s="331"/>
      <c r="Y165" s="121"/>
    </row>
    <row r="166" spans="10:25" x14ac:dyDescent="0.2">
      <c r="J166" s="331"/>
      <c r="K166" s="331"/>
      <c r="L166" s="331"/>
      <c r="M166" s="331"/>
      <c r="N166" s="331"/>
      <c r="O166" s="331"/>
      <c r="P166" s="331"/>
      <c r="Q166" s="331"/>
      <c r="R166" s="331"/>
      <c r="S166" s="331">
        <v>179</v>
      </c>
      <c r="T166" s="331">
        <v>150</v>
      </c>
      <c r="U166" s="331"/>
      <c r="V166" s="331"/>
      <c r="W166" s="331"/>
      <c r="X166" s="331"/>
      <c r="Y166" s="121"/>
    </row>
    <row r="167" spans="10:25" x14ac:dyDescent="0.2">
      <c r="J167" s="331"/>
      <c r="K167" s="331"/>
      <c r="L167" s="331"/>
      <c r="M167" s="331"/>
      <c r="N167" s="331"/>
      <c r="O167" s="331"/>
      <c r="P167" s="331"/>
      <c r="Q167" s="331"/>
      <c r="R167" s="331"/>
      <c r="S167" s="331">
        <v>180</v>
      </c>
      <c r="T167" s="331">
        <v>150</v>
      </c>
      <c r="U167" s="331"/>
      <c r="V167" s="331"/>
      <c r="W167" s="331"/>
      <c r="X167" s="331"/>
      <c r="Y167" s="121"/>
    </row>
    <row r="168" spans="10:25" x14ac:dyDescent="0.2">
      <c r="J168" s="331"/>
      <c r="K168" s="331"/>
      <c r="L168" s="331"/>
      <c r="M168" s="331"/>
      <c r="N168" s="331"/>
      <c r="O168" s="331"/>
      <c r="P168" s="331"/>
      <c r="Q168" s="331"/>
      <c r="R168" s="331"/>
      <c r="S168" s="331">
        <v>181</v>
      </c>
      <c r="T168" s="331">
        <v>150</v>
      </c>
      <c r="U168" s="331"/>
      <c r="V168" s="331"/>
      <c r="W168" s="331"/>
      <c r="X168" s="331"/>
      <c r="Y168" s="121"/>
    </row>
    <row r="169" spans="10:25" x14ac:dyDescent="0.2">
      <c r="J169" s="331"/>
      <c r="K169" s="331"/>
      <c r="L169" s="331"/>
      <c r="M169" s="331"/>
      <c r="N169" s="331"/>
      <c r="O169" s="331"/>
      <c r="P169" s="331"/>
      <c r="Q169" s="331"/>
      <c r="R169" s="331"/>
      <c r="S169" s="331">
        <v>182</v>
      </c>
      <c r="T169" s="331">
        <v>150</v>
      </c>
      <c r="U169" s="331"/>
      <c r="V169" s="331"/>
      <c r="W169" s="331"/>
      <c r="X169" s="331"/>
      <c r="Y169" s="121"/>
    </row>
    <row r="170" spans="10:25" x14ac:dyDescent="0.2">
      <c r="J170" s="331"/>
      <c r="K170" s="331"/>
      <c r="L170" s="331"/>
      <c r="M170" s="331"/>
      <c r="N170" s="331"/>
      <c r="O170" s="331"/>
      <c r="P170" s="331"/>
      <c r="Q170" s="331"/>
      <c r="R170" s="331"/>
      <c r="S170" s="331">
        <v>183</v>
      </c>
      <c r="T170" s="331">
        <v>150</v>
      </c>
      <c r="U170" s="331"/>
      <c r="V170" s="331"/>
      <c r="W170" s="331"/>
      <c r="X170" s="331"/>
      <c r="Y170" s="121"/>
    </row>
    <row r="171" spans="10:25" x14ac:dyDescent="0.2">
      <c r="J171" s="331"/>
      <c r="K171" s="331"/>
      <c r="L171" s="331"/>
      <c r="M171" s="331"/>
      <c r="N171" s="331"/>
      <c r="O171" s="331"/>
      <c r="P171" s="331"/>
      <c r="Q171" s="331"/>
      <c r="R171" s="331"/>
      <c r="S171" s="331">
        <v>184</v>
      </c>
      <c r="T171" s="331">
        <v>150</v>
      </c>
      <c r="U171" s="331"/>
      <c r="V171" s="331"/>
      <c r="W171" s="331"/>
      <c r="X171" s="331"/>
      <c r="Y171" s="121"/>
    </row>
    <row r="172" spans="10:25" x14ac:dyDescent="0.2">
      <c r="J172" s="331"/>
      <c r="K172" s="331"/>
      <c r="L172" s="331"/>
      <c r="M172" s="331"/>
      <c r="N172" s="331"/>
      <c r="O172" s="331"/>
      <c r="P172" s="331"/>
      <c r="Q172" s="331"/>
      <c r="R172" s="331"/>
      <c r="S172" s="331">
        <v>185</v>
      </c>
      <c r="T172" s="331">
        <v>150</v>
      </c>
      <c r="U172" s="331"/>
      <c r="V172" s="331"/>
      <c r="W172" s="331"/>
      <c r="X172" s="331"/>
      <c r="Y172" s="121"/>
    </row>
    <row r="173" spans="10:25" x14ac:dyDescent="0.2">
      <c r="J173" s="331"/>
      <c r="K173" s="331"/>
      <c r="L173" s="331"/>
      <c r="M173" s="331"/>
      <c r="N173" s="331"/>
      <c r="O173" s="331"/>
      <c r="P173" s="331"/>
      <c r="Q173" s="331"/>
      <c r="R173" s="331"/>
      <c r="S173" s="331">
        <v>186</v>
      </c>
      <c r="T173" s="331">
        <v>150</v>
      </c>
      <c r="U173" s="331"/>
      <c r="V173" s="331"/>
      <c r="W173" s="331"/>
      <c r="X173" s="331"/>
      <c r="Y173" s="121"/>
    </row>
    <row r="174" spans="10:25" x14ac:dyDescent="0.2">
      <c r="J174" s="331"/>
      <c r="K174" s="331"/>
      <c r="L174" s="331"/>
      <c r="M174" s="331"/>
      <c r="N174" s="331"/>
      <c r="O174" s="331"/>
      <c r="P174" s="331"/>
      <c r="Q174" s="331"/>
      <c r="R174" s="331"/>
      <c r="S174" s="331">
        <v>187</v>
      </c>
      <c r="T174" s="331">
        <v>150</v>
      </c>
      <c r="U174" s="331"/>
      <c r="V174" s="331"/>
      <c r="W174" s="331"/>
      <c r="X174" s="331"/>
      <c r="Y174" s="121"/>
    </row>
    <row r="175" spans="10:25" x14ac:dyDescent="0.2">
      <c r="J175" s="331"/>
      <c r="K175" s="331"/>
      <c r="L175" s="331"/>
      <c r="M175" s="331"/>
      <c r="N175" s="331"/>
      <c r="O175" s="331"/>
      <c r="P175" s="331"/>
      <c r="Q175" s="331"/>
      <c r="R175" s="331"/>
      <c r="S175" s="331">
        <v>188</v>
      </c>
      <c r="T175" s="331">
        <v>150</v>
      </c>
      <c r="U175" s="331"/>
      <c r="V175" s="331"/>
      <c r="W175" s="331"/>
      <c r="X175" s="331"/>
      <c r="Y175" s="121"/>
    </row>
    <row r="176" spans="10:25" x14ac:dyDescent="0.2">
      <c r="J176" s="331"/>
      <c r="K176" s="331"/>
      <c r="L176" s="331"/>
      <c r="M176" s="331"/>
      <c r="N176" s="331"/>
      <c r="O176" s="331"/>
      <c r="P176" s="331"/>
      <c r="Q176" s="331"/>
      <c r="R176" s="331"/>
      <c r="S176" s="331">
        <v>189</v>
      </c>
      <c r="T176" s="331">
        <v>150</v>
      </c>
      <c r="U176" s="331"/>
      <c r="V176" s="331"/>
      <c r="W176" s="331"/>
      <c r="X176" s="331"/>
      <c r="Y176" s="121"/>
    </row>
    <row r="177" spans="10:25" x14ac:dyDescent="0.2">
      <c r="J177" s="331"/>
      <c r="K177" s="331"/>
      <c r="L177" s="331"/>
      <c r="M177" s="331"/>
      <c r="N177" s="331"/>
      <c r="O177" s="331"/>
      <c r="P177" s="331"/>
      <c r="Q177" s="331"/>
      <c r="R177" s="331"/>
      <c r="S177" s="331">
        <v>190</v>
      </c>
      <c r="T177" s="331">
        <v>150</v>
      </c>
      <c r="U177" s="331"/>
      <c r="V177" s="331"/>
      <c r="W177" s="331"/>
      <c r="X177" s="331"/>
      <c r="Y177" s="121"/>
    </row>
    <row r="178" spans="10:25" x14ac:dyDescent="0.2">
      <c r="J178" s="331"/>
      <c r="K178" s="331"/>
      <c r="L178" s="331"/>
      <c r="M178" s="331"/>
      <c r="N178" s="331"/>
      <c r="O178" s="331"/>
      <c r="P178" s="331"/>
      <c r="Q178" s="331"/>
      <c r="R178" s="331"/>
      <c r="S178" s="331">
        <v>191</v>
      </c>
      <c r="T178" s="331">
        <v>150</v>
      </c>
      <c r="U178" s="331"/>
      <c r="V178" s="331"/>
      <c r="W178" s="331"/>
      <c r="X178" s="331"/>
      <c r="Y178" s="121"/>
    </row>
    <row r="179" spans="10:25" x14ac:dyDescent="0.2">
      <c r="J179" s="331"/>
      <c r="K179" s="331"/>
      <c r="L179" s="331"/>
      <c r="M179" s="331"/>
      <c r="N179" s="331"/>
      <c r="O179" s="331"/>
      <c r="P179" s="331"/>
      <c r="Q179" s="331"/>
      <c r="R179" s="331"/>
      <c r="S179" s="331">
        <v>192</v>
      </c>
      <c r="T179" s="331">
        <v>150</v>
      </c>
      <c r="U179" s="331"/>
      <c r="V179" s="331"/>
      <c r="W179" s="331"/>
      <c r="X179" s="331"/>
      <c r="Y179" s="121"/>
    </row>
    <row r="180" spans="10:25" x14ac:dyDescent="0.2">
      <c r="J180" s="331"/>
      <c r="K180" s="331"/>
      <c r="L180" s="331"/>
      <c r="M180" s="331"/>
      <c r="N180" s="331"/>
      <c r="O180" s="331"/>
      <c r="P180" s="331"/>
      <c r="Q180" s="331"/>
      <c r="R180" s="331"/>
      <c r="S180" s="331">
        <v>193</v>
      </c>
      <c r="T180" s="331">
        <v>150</v>
      </c>
      <c r="U180" s="331"/>
      <c r="V180" s="331"/>
      <c r="W180" s="331"/>
      <c r="X180" s="331"/>
      <c r="Y180" s="121"/>
    </row>
    <row r="181" spans="10:25" x14ac:dyDescent="0.2">
      <c r="J181" s="331"/>
      <c r="K181" s="331"/>
      <c r="L181" s="331"/>
      <c r="M181" s="331"/>
      <c r="N181" s="331"/>
      <c r="O181" s="331"/>
      <c r="P181" s="331"/>
      <c r="Q181" s="331"/>
      <c r="R181" s="331"/>
      <c r="S181" s="331">
        <v>194</v>
      </c>
      <c r="T181" s="331">
        <v>150</v>
      </c>
      <c r="U181" s="331"/>
      <c r="V181" s="331"/>
      <c r="W181" s="331"/>
      <c r="X181" s="331"/>
      <c r="Y181" s="121"/>
    </row>
    <row r="182" spans="10:25" x14ac:dyDescent="0.2">
      <c r="J182" s="331"/>
      <c r="K182" s="331"/>
      <c r="L182" s="331"/>
      <c r="M182" s="331"/>
      <c r="N182" s="331"/>
      <c r="O182" s="331"/>
      <c r="P182" s="331"/>
      <c r="Q182" s="331"/>
      <c r="R182" s="331"/>
      <c r="S182" s="331">
        <v>195</v>
      </c>
      <c r="T182" s="331">
        <v>150</v>
      </c>
      <c r="U182" s="331"/>
      <c r="V182" s="331"/>
      <c r="W182" s="331"/>
      <c r="X182" s="331"/>
      <c r="Y182" s="121"/>
    </row>
    <row r="183" spans="10:25" x14ac:dyDescent="0.2">
      <c r="J183" s="331"/>
      <c r="K183" s="331"/>
      <c r="L183" s="331"/>
      <c r="M183" s="331"/>
      <c r="N183" s="331"/>
      <c r="O183" s="331"/>
      <c r="P183" s="331"/>
      <c r="Q183" s="331"/>
      <c r="R183" s="331"/>
      <c r="S183" s="331">
        <v>196</v>
      </c>
      <c r="T183" s="331">
        <v>150</v>
      </c>
      <c r="U183" s="331"/>
      <c r="V183" s="331"/>
      <c r="W183" s="331"/>
      <c r="X183" s="331"/>
      <c r="Y183" s="121"/>
    </row>
    <row r="184" spans="10:25" x14ac:dyDescent="0.2">
      <c r="J184" s="331"/>
      <c r="K184" s="331"/>
      <c r="L184" s="331"/>
      <c r="M184" s="331"/>
      <c r="N184" s="331"/>
      <c r="O184" s="331"/>
      <c r="P184" s="331"/>
      <c r="Q184" s="331"/>
      <c r="R184" s="331"/>
      <c r="S184" s="331">
        <v>197</v>
      </c>
      <c r="T184" s="331">
        <v>150</v>
      </c>
      <c r="U184" s="331"/>
      <c r="V184" s="331"/>
      <c r="W184" s="331"/>
      <c r="X184" s="331"/>
      <c r="Y184" s="121"/>
    </row>
    <row r="185" spans="10:25" x14ac:dyDescent="0.2">
      <c r="J185" s="331"/>
      <c r="K185" s="331"/>
      <c r="L185" s="331"/>
      <c r="M185" s="331"/>
      <c r="N185" s="331"/>
      <c r="O185" s="331"/>
      <c r="P185" s="331"/>
      <c r="Q185" s="331"/>
      <c r="R185" s="331"/>
      <c r="S185" s="331">
        <v>198</v>
      </c>
      <c r="T185" s="331">
        <v>150</v>
      </c>
      <c r="U185" s="331"/>
      <c r="V185" s="331"/>
      <c r="W185" s="331"/>
      <c r="X185" s="331"/>
      <c r="Y185" s="121"/>
    </row>
    <row r="186" spans="10:25" x14ac:dyDescent="0.2">
      <c r="J186" s="331"/>
      <c r="K186" s="331"/>
      <c r="L186" s="331"/>
      <c r="M186" s="331"/>
      <c r="N186" s="331"/>
      <c r="O186" s="331"/>
      <c r="P186" s="331"/>
      <c r="Q186" s="331"/>
      <c r="R186" s="331"/>
      <c r="S186" s="331">
        <v>199</v>
      </c>
      <c r="T186" s="331">
        <v>150</v>
      </c>
      <c r="U186" s="331"/>
      <c r="V186" s="331"/>
      <c r="W186" s="331"/>
      <c r="X186" s="331"/>
      <c r="Y186" s="121"/>
    </row>
    <row r="187" spans="10:25" x14ac:dyDescent="0.2">
      <c r="J187" s="331"/>
      <c r="K187" s="331"/>
      <c r="L187" s="331"/>
      <c r="M187" s="331"/>
      <c r="N187" s="331"/>
      <c r="O187" s="331"/>
      <c r="P187" s="331"/>
      <c r="Q187" s="331"/>
      <c r="R187" s="331"/>
      <c r="S187" s="331">
        <v>200</v>
      </c>
      <c r="T187" s="331">
        <v>150</v>
      </c>
      <c r="U187" s="331">
        <v>200</v>
      </c>
      <c r="V187" s="331"/>
      <c r="W187" s="331"/>
      <c r="X187" s="331"/>
      <c r="Y187" s="121"/>
    </row>
    <row r="188" spans="10:25" x14ac:dyDescent="0.2">
      <c r="J188" s="331"/>
      <c r="K188" s="331"/>
      <c r="L188" s="331"/>
      <c r="M188" s="331"/>
      <c r="N188" s="331"/>
      <c r="O188" s="331"/>
      <c r="P188" s="331"/>
      <c r="Q188" s="331"/>
      <c r="R188" s="331"/>
      <c r="S188" s="331">
        <v>201</v>
      </c>
      <c r="T188" s="331">
        <v>150</v>
      </c>
      <c r="U188" s="331"/>
      <c r="V188" s="331"/>
      <c r="W188" s="331"/>
      <c r="X188" s="331"/>
      <c r="Y188" s="121"/>
    </row>
    <row r="189" spans="10:25" x14ac:dyDescent="0.2">
      <c r="J189" s="331"/>
      <c r="K189" s="331"/>
      <c r="L189" s="331"/>
      <c r="M189" s="331"/>
      <c r="N189" s="331"/>
      <c r="O189" s="331"/>
      <c r="P189" s="331"/>
      <c r="Q189" s="331"/>
      <c r="R189" s="331"/>
      <c r="S189" s="331">
        <v>202</v>
      </c>
      <c r="T189" s="331">
        <v>150</v>
      </c>
      <c r="U189" s="331"/>
      <c r="V189" s="331"/>
      <c r="W189" s="331"/>
      <c r="X189" s="331"/>
      <c r="Y189" s="121"/>
    </row>
    <row r="190" spans="10:25" x14ac:dyDescent="0.2">
      <c r="J190" s="331"/>
      <c r="K190" s="331"/>
      <c r="L190" s="331"/>
      <c r="M190" s="331"/>
      <c r="N190" s="331"/>
      <c r="O190" s="331"/>
      <c r="P190" s="331"/>
      <c r="Q190" s="331"/>
      <c r="R190" s="331"/>
      <c r="S190" s="331">
        <v>203</v>
      </c>
      <c r="T190" s="331">
        <v>150</v>
      </c>
      <c r="U190" s="331"/>
      <c r="V190" s="331"/>
      <c r="W190" s="331"/>
      <c r="X190" s="331"/>
      <c r="Y190" s="121"/>
    </row>
    <row r="191" spans="10:25" x14ac:dyDescent="0.2">
      <c r="J191" s="331"/>
      <c r="K191" s="331"/>
      <c r="L191" s="331"/>
      <c r="M191" s="331"/>
      <c r="N191" s="331"/>
      <c r="O191" s="331"/>
      <c r="P191" s="331"/>
      <c r="Q191" s="331"/>
      <c r="R191" s="331"/>
      <c r="S191" s="331">
        <v>204</v>
      </c>
      <c r="T191" s="331">
        <v>150</v>
      </c>
      <c r="U191" s="331"/>
      <c r="V191" s="331"/>
      <c r="W191" s="331"/>
      <c r="X191" s="331"/>
      <c r="Y191" s="121"/>
    </row>
    <row r="192" spans="10:25" x14ac:dyDescent="0.2">
      <c r="J192" s="331"/>
      <c r="K192" s="331"/>
      <c r="L192" s="331"/>
      <c r="M192" s="331"/>
      <c r="N192" s="331"/>
      <c r="O192" s="331"/>
      <c r="P192" s="331"/>
      <c r="Q192" s="331"/>
      <c r="R192" s="331"/>
      <c r="S192" s="331">
        <v>205</v>
      </c>
      <c r="T192" s="331">
        <v>150</v>
      </c>
      <c r="U192" s="331"/>
      <c r="V192" s="331"/>
      <c r="W192" s="331"/>
      <c r="X192" s="331"/>
      <c r="Y192" s="121"/>
    </row>
    <row r="193" spans="10:25" x14ac:dyDescent="0.2">
      <c r="J193" s="331"/>
      <c r="K193" s="331"/>
      <c r="L193" s="331"/>
      <c r="M193" s="331"/>
      <c r="N193" s="331"/>
      <c r="O193" s="331"/>
      <c r="P193" s="331"/>
      <c r="Q193" s="331"/>
      <c r="R193" s="331"/>
      <c r="S193" s="331">
        <v>206</v>
      </c>
      <c r="T193" s="331">
        <v>150</v>
      </c>
      <c r="U193" s="331"/>
      <c r="V193" s="331"/>
      <c r="W193" s="331"/>
      <c r="X193" s="331"/>
      <c r="Y193" s="121"/>
    </row>
    <row r="194" spans="10:25" x14ac:dyDescent="0.2">
      <c r="J194" s="331"/>
      <c r="K194" s="331"/>
      <c r="L194" s="331"/>
      <c r="M194" s="331"/>
      <c r="N194" s="331"/>
      <c r="O194" s="331"/>
      <c r="P194" s="331"/>
      <c r="Q194" s="331"/>
      <c r="R194" s="331"/>
      <c r="S194" s="331">
        <v>207</v>
      </c>
      <c r="T194" s="331">
        <v>150</v>
      </c>
      <c r="U194" s="331"/>
      <c r="V194" s="331"/>
      <c r="W194" s="331"/>
      <c r="X194" s="331"/>
      <c r="Y194" s="121"/>
    </row>
    <row r="195" spans="10:25" x14ac:dyDescent="0.2">
      <c r="J195" s="331"/>
      <c r="K195" s="331"/>
      <c r="L195" s="331"/>
      <c r="M195" s="331"/>
      <c r="N195" s="331"/>
      <c r="O195" s="331"/>
      <c r="P195" s="331"/>
      <c r="Q195" s="331"/>
      <c r="R195" s="331"/>
      <c r="S195" s="331">
        <v>208</v>
      </c>
      <c r="T195" s="331">
        <v>150</v>
      </c>
      <c r="U195" s="331"/>
      <c r="V195" s="331"/>
      <c r="W195" s="331"/>
      <c r="X195" s="331"/>
      <c r="Y195" s="121"/>
    </row>
    <row r="196" spans="10:25" x14ac:dyDescent="0.2">
      <c r="J196" s="331"/>
      <c r="K196" s="331"/>
      <c r="L196" s="331"/>
      <c r="M196" s="331"/>
      <c r="N196" s="331"/>
      <c r="O196" s="331"/>
      <c r="P196" s="331"/>
      <c r="Q196" s="331"/>
      <c r="R196" s="331"/>
      <c r="S196" s="331">
        <v>209</v>
      </c>
      <c r="T196" s="331">
        <v>150</v>
      </c>
      <c r="U196" s="331"/>
      <c r="V196" s="331"/>
      <c r="W196" s="331"/>
      <c r="X196" s="331"/>
      <c r="Y196" s="121"/>
    </row>
    <row r="197" spans="10:25" x14ac:dyDescent="0.2">
      <c r="J197" s="331"/>
      <c r="K197" s="331"/>
      <c r="L197" s="331"/>
      <c r="M197" s="331"/>
      <c r="N197" s="331"/>
      <c r="O197" s="331"/>
      <c r="P197" s="331"/>
      <c r="Q197" s="331"/>
      <c r="R197" s="331"/>
      <c r="S197" s="331">
        <v>210</v>
      </c>
      <c r="T197" s="331">
        <v>150</v>
      </c>
      <c r="U197" s="331"/>
      <c r="V197" s="331"/>
      <c r="W197" s="331"/>
      <c r="X197" s="331"/>
      <c r="Y197" s="121"/>
    </row>
    <row r="198" spans="10:25" x14ac:dyDescent="0.2">
      <c r="J198" s="331"/>
      <c r="K198" s="331"/>
      <c r="L198" s="331"/>
      <c r="M198" s="331"/>
      <c r="N198" s="331"/>
      <c r="O198" s="331"/>
      <c r="P198" s="331"/>
      <c r="Q198" s="331"/>
      <c r="R198" s="331"/>
      <c r="S198" s="331">
        <v>211</v>
      </c>
      <c r="T198" s="331">
        <v>150</v>
      </c>
      <c r="U198" s="331"/>
      <c r="V198" s="331"/>
      <c r="W198" s="331"/>
      <c r="X198" s="331"/>
      <c r="Y198" s="121"/>
    </row>
    <row r="199" spans="10:25" x14ac:dyDescent="0.2">
      <c r="J199" s="331"/>
      <c r="K199" s="331"/>
      <c r="L199" s="331"/>
      <c r="M199" s="331"/>
      <c r="N199" s="331"/>
      <c r="O199" s="331"/>
      <c r="P199" s="331"/>
      <c r="Q199" s="331"/>
      <c r="R199" s="331"/>
      <c r="S199" s="331">
        <v>212</v>
      </c>
      <c r="T199" s="331">
        <v>150</v>
      </c>
      <c r="U199" s="331"/>
      <c r="V199" s="331"/>
      <c r="W199" s="331"/>
      <c r="X199" s="331"/>
      <c r="Y199" s="121"/>
    </row>
    <row r="200" spans="10:25" x14ac:dyDescent="0.2">
      <c r="J200" s="331"/>
      <c r="K200" s="331"/>
      <c r="L200" s="331"/>
      <c r="M200" s="331"/>
      <c r="N200" s="331"/>
      <c r="O200" s="331"/>
      <c r="P200" s="331"/>
      <c r="Q200" s="331"/>
      <c r="R200" s="331"/>
      <c r="S200" s="331">
        <v>213</v>
      </c>
      <c r="T200" s="331">
        <v>150</v>
      </c>
      <c r="U200" s="331"/>
      <c r="V200" s="331"/>
      <c r="W200" s="331"/>
      <c r="X200" s="331"/>
      <c r="Y200" s="121"/>
    </row>
    <row r="201" spans="10:25" x14ac:dyDescent="0.2">
      <c r="J201" s="331"/>
      <c r="K201" s="331"/>
      <c r="L201" s="331"/>
      <c r="M201" s="331"/>
      <c r="N201" s="331"/>
      <c r="O201" s="331"/>
      <c r="P201" s="331"/>
      <c r="Q201" s="331"/>
      <c r="R201" s="331"/>
      <c r="S201" s="331">
        <v>214</v>
      </c>
      <c r="T201" s="331">
        <v>150</v>
      </c>
      <c r="U201" s="331"/>
      <c r="V201" s="331"/>
      <c r="W201" s="331"/>
      <c r="X201" s="331"/>
      <c r="Y201" s="121"/>
    </row>
    <row r="202" spans="10:25" x14ac:dyDescent="0.2">
      <c r="J202" s="331"/>
      <c r="K202" s="331"/>
      <c r="L202" s="331"/>
      <c r="M202" s="331"/>
      <c r="N202" s="331"/>
      <c r="O202" s="331"/>
      <c r="P202" s="331"/>
      <c r="Q202" s="331"/>
      <c r="R202" s="331"/>
      <c r="S202" s="331">
        <v>215</v>
      </c>
      <c r="T202" s="331">
        <v>150</v>
      </c>
      <c r="U202" s="331"/>
      <c r="V202" s="331"/>
      <c r="W202" s="331"/>
      <c r="X202" s="331"/>
      <c r="Y202" s="121"/>
    </row>
    <row r="203" spans="10:25" x14ac:dyDescent="0.2">
      <c r="J203" s="331"/>
      <c r="K203" s="331"/>
      <c r="L203" s="331"/>
      <c r="M203" s="331"/>
      <c r="N203" s="331"/>
      <c r="O203" s="331"/>
      <c r="P203" s="331"/>
      <c r="Q203" s="331"/>
      <c r="R203" s="331"/>
      <c r="S203" s="331">
        <v>216</v>
      </c>
      <c r="T203" s="331">
        <v>150</v>
      </c>
      <c r="U203" s="331"/>
      <c r="V203" s="331"/>
      <c r="W203" s="331"/>
      <c r="X203" s="331"/>
      <c r="Y203" s="121"/>
    </row>
    <row r="204" spans="10:25" x14ac:dyDescent="0.2">
      <c r="J204" s="331"/>
      <c r="K204" s="331"/>
      <c r="L204" s="331"/>
      <c r="M204" s="331"/>
      <c r="N204" s="331"/>
      <c r="O204" s="331"/>
      <c r="P204" s="331"/>
      <c r="Q204" s="331"/>
      <c r="R204" s="331"/>
      <c r="S204" s="331">
        <v>217</v>
      </c>
      <c r="T204" s="331">
        <v>150</v>
      </c>
      <c r="U204" s="331"/>
      <c r="V204" s="331"/>
      <c r="W204" s="331"/>
      <c r="X204" s="331"/>
      <c r="Y204" s="121"/>
    </row>
    <row r="205" spans="10:25" x14ac:dyDescent="0.2">
      <c r="J205" s="331"/>
      <c r="K205" s="331"/>
      <c r="L205" s="331"/>
      <c r="M205" s="331"/>
      <c r="N205" s="331"/>
      <c r="O205" s="331"/>
      <c r="P205" s="331"/>
      <c r="Q205" s="331"/>
      <c r="R205" s="331"/>
      <c r="S205" s="331">
        <v>218</v>
      </c>
      <c r="T205" s="331">
        <v>150</v>
      </c>
      <c r="U205" s="331"/>
      <c r="V205" s="331"/>
      <c r="W205" s="331"/>
      <c r="X205" s="331"/>
      <c r="Y205" s="121"/>
    </row>
    <row r="206" spans="10:25" x14ac:dyDescent="0.2">
      <c r="J206" s="331"/>
      <c r="K206" s="331"/>
      <c r="L206" s="331"/>
      <c r="M206" s="331"/>
      <c r="N206" s="331"/>
      <c r="O206" s="331"/>
      <c r="P206" s="331"/>
      <c r="Q206" s="331"/>
      <c r="R206" s="331"/>
      <c r="S206" s="331">
        <v>219</v>
      </c>
      <c r="T206" s="331">
        <v>150</v>
      </c>
      <c r="U206" s="331"/>
      <c r="V206" s="331"/>
      <c r="W206" s="331"/>
      <c r="X206" s="331"/>
      <c r="Y206" s="121"/>
    </row>
    <row r="207" spans="10:25" x14ac:dyDescent="0.2">
      <c r="J207" s="331"/>
      <c r="K207" s="331"/>
      <c r="L207" s="331"/>
      <c r="M207" s="331"/>
      <c r="N207" s="331"/>
      <c r="O207" s="331"/>
      <c r="P207" s="331"/>
      <c r="Q207" s="331"/>
      <c r="R207" s="331"/>
      <c r="S207" s="331">
        <v>220</v>
      </c>
      <c r="T207" s="331">
        <v>150</v>
      </c>
      <c r="U207" s="331"/>
      <c r="V207" s="331"/>
      <c r="W207" s="331"/>
      <c r="X207" s="331"/>
      <c r="Y207" s="121"/>
    </row>
    <row r="208" spans="10:25" x14ac:dyDescent="0.2">
      <c r="J208" s="331"/>
      <c r="K208" s="331"/>
      <c r="L208" s="331"/>
      <c r="M208" s="331"/>
      <c r="N208" s="331"/>
      <c r="O208" s="331"/>
      <c r="P208" s="331"/>
      <c r="Q208" s="331"/>
      <c r="R208" s="331"/>
      <c r="S208" s="331">
        <v>221</v>
      </c>
      <c r="T208" s="331">
        <v>150</v>
      </c>
      <c r="U208" s="331"/>
      <c r="V208" s="331"/>
      <c r="W208" s="331"/>
      <c r="X208" s="331"/>
      <c r="Y208" s="121"/>
    </row>
    <row r="209" spans="10:25" x14ac:dyDescent="0.2">
      <c r="J209" s="331"/>
      <c r="K209" s="331"/>
      <c r="L209" s="331"/>
      <c r="M209" s="331"/>
      <c r="N209" s="331"/>
      <c r="O209" s="331"/>
      <c r="P209" s="331"/>
      <c r="Q209" s="331"/>
      <c r="R209" s="331"/>
      <c r="S209" s="331">
        <v>222</v>
      </c>
      <c r="T209" s="331">
        <v>150</v>
      </c>
      <c r="U209" s="331"/>
      <c r="V209" s="331"/>
      <c r="W209" s="331"/>
      <c r="X209" s="331"/>
      <c r="Y209" s="121"/>
    </row>
    <row r="210" spans="10:25" x14ac:dyDescent="0.2">
      <c r="J210" s="331"/>
      <c r="K210" s="331"/>
      <c r="L210" s="331"/>
      <c r="M210" s="331"/>
      <c r="N210" s="331"/>
      <c r="O210" s="331"/>
      <c r="P210" s="331"/>
      <c r="Q210" s="331"/>
      <c r="R210" s="331"/>
      <c r="S210" s="331">
        <v>223</v>
      </c>
      <c r="T210" s="331">
        <v>150</v>
      </c>
      <c r="U210" s="331"/>
      <c r="V210" s="331"/>
      <c r="W210" s="331"/>
      <c r="X210" s="331"/>
      <c r="Y210" s="121"/>
    </row>
    <row r="211" spans="10:25" x14ac:dyDescent="0.2">
      <c r="J211" s="331"/>
      <c r="K211" s="331"/>
      <c r="L211" s="331"/>
      <c r="M211" s="331"/>
      <c r="N211" s="331"/>
      <c r="O211" s="331"/>
      <c r="P211" s="331"/>
      <c r="Q211" s="331"/>
      <c r="R211" s="331"/>
      <c r="S211" s="331">
        <v>224</v>
      </c>
      <c r="T211" s="331">
        <v>150</v>
      </c>
      <c r="U211" s="331"/>
      <c r="V211" s="331"/>
      <c r="W211" s="331"/>
      <c r="X211" s="331"/>
      <c r="Y211" s="121"/>
    </row>
    <row r="212" spans="10:25" x14ac:dyDescent="0.2">
      <c r="J212" s="331"/>
      <c r="K212" s="331"/>
      <c r="L212" s="331"/>
      <c r="M212" s="331"/>
      <c r="N212" s="331"/>
      <c r="O212" s="331"/>
      <c r="P212" s="331"/>
      <c r="Q212" s="331"/>
      <c r="R212" s="331"/>
      <c r="S212" s="331">
        <v>225</v>
      </c>
      <c r="T212" s="331">
        <v>150</v>
      </c>
      <c r="U212" s="331"/>
      <c r="V212" s="331"/>
      <c r="W212" s="331"/>
      <c r="X212" s="331"/>
      <c r="Y212" s="121"/>
    </row>
    <row r="213" spans="10:25" x14ac:dyDescent="0.2">
      <c r="J213" s="331"/>
      <c r="K213" s="331"/>
      <c r="L213" s="331"/>
      <c r="M213" s="331"/>
      <c r="N213" s="331"/>
      <c r="O213" s="331"/>
      <c r="P213" s="331"/>
      <c r="Q213" s="331"/>
      <c r="R213" s="331"/>
      <c r="S213" s="331">
        <v>226</v>
      </c>
      <c r="T213" s="331">
        <v>150</v>
      </c>
      <c r="U213" s="331"/>
      <c r="V213" s="331"/>
      <c r="W213" s="331"/>
      <c r="X213" s="331"/>
      <c r="Y213" s="121"/>
    </row>
    <row r="214" spans="10:25" x14ac:dyDescent="0.2">
      <c r="J214" s="331"/>
      <c r="K214" s="331"/>
      <c r="L214" s="331"/>
      <c r="M214" s="331"/>
      <c r="N214" s="331"/>
      <c r="O214" s="331"/>
      <c r="P214" s="331"/>
      <c r="Q214" s="331"/>
      <c r="R214" s="331"/>
      <c r="S214" s="331">
        <v>227</v>
      </c>
      <c r="T214" s="331">
        <v>150</v>
      </c>
      <c r="U214" s="331"/>
      <c r="V214" s="331"/>
      <c r="W214" s="331"/>
      <c r="X214" s="331"/>
      <c r="Y214" s="121"/>
    </row>
    <row r="215" spans="10:25" x14ac:dyDescent="0.2">
      <c r="J215" s="331"/>
      <c r="K215" s="331"/>
      <c r="L215" s="331"/>
      <c r="M215" s="331"/>
      <c r="N215" s="331"/>
      <c r="O215" s="331"/>
      <c r="P215" s="331"/>
      <c r="Q215" s="331"/>
      <c r="R215" s="331"/>
      <c r="S215" s="331">
        <v>228</v>
      </c>
      <c r="T215" s="331">
        <v>150</v>
      </c>
      <c r="U215" s="331"/>
      <c r="V215" s="331"/>
      <c r="W215" s="331"/>
      <c r="X215" s="331"/>
      <c r="Y215" s="121"/>
    </row>
    <row r="216" spans="10:25" x14ac:dyDescent="0.2">
      <c r="J216" s="331"/>
      <c r="K216" s="331"/>
      <c r="L216" s="331"/>
      <c r="M216" s="331"/>
      <c r="N216" s="331"/>
      <c r="O216" s="331"/>
      <c r="P216" s="331"/>
      <c r="Q216" s="331"/>
      <c r="R216" s="331"/>
      <c r="S216" s="331">
        <v>229</v>
      </c>
      <c r="T216" s="331">
        <v>150</v>
      </c>
      <c r="U216" s="331"/>
      <c r="V216" s="331"/>
      <c r="W216" s="331"/>
      <c r="X216" s="331"/>
      <c r="Y216" s="121"/>
    </row>
    <row r="217" spans="10:25" x14ac:dyDescent="0.2">
      <c r="J217" s="331"/>
      <c r="K217" s="331"/>
      <c r="L217" s="331"/>
      <c r="M217" s="331"/>
      <c r="N217" s="331"/>
      <c r="O217" s="331"/>
      <c r="P217" s="331"/>
      <c r="Q217" s="331"/>
      <c r="R217" s="331"/>
      <c r="S217" s="331">
        <v>230</v>
      </c>
      <c r="T217" s="331">
        <v>150</v>
      </c>
      <c r="U217" s="331"/>
      <c r="V217" s="331"/>
      <c r="W217" s="331"/>
      <c r="X217" s="331"/>
      <c r="Y217" s="121"/>
    </row>
    <row r="218" spans="10:25" x14ac:dyDescent="0.2">
      <c r="J218" s="331"/>
      <c r="K218" s="331"/>
      <c r="L218" s="331"/>
      <c r="M218" s="331"/>
      <c r="N218" s="331"/>
      <c r="O218" s="331"/>
      <c r="P218" s="331"/>
      <c r="Q218" s="331"/>
      <c r="R218" s="331"/>
      <c r="S218" s="331">
        <v>231</v>
      </c>
      <c r="T218" s="331">
        <v>150</v>
      </c>
      <c r="U218" s="331"/>
      <c r="V218" s="331"/>
      <c r="W218" s="331"/>
      <c r="X218" s="331"/>
      <c r="Y218" s="121"/>
    </row>
    <row r="219" spans="10:25" x14ac:dyDescent="0.2">
      <c r="J219" s="331"/>
      <c r="K219" s="331"/>
      <c r="L219" s="331"/>
      <c r="M219" s="331"/>
      <c r="N219" s="331"/>
      <c r="O219" s="331"/>
      <c r="P219" s="331"/>
      <c r="Q219" s="331"/>
      <c r="R219" s="331"/>
      <c r="S219" s="331">
        <v>232</v>
      </c>
      <c r="T219" s="331">
        <v>150</v>
      </c>
      <c r="U219" s="331"/>
      <c r="V219" s="331"/>
      <c r="W219" s="331"/>
      <c r="X219" s="331"/>
      <c r="Y219" s="121"/>
    </row>
    <row r="220" spans="10:25" x14ac:dyDescent="0.2">
      <c r="J220" s="331"/>
      <c r="K220" s="331"/>
      <c r="L220" s="331"/>
      <c r="M220" s="331"/>
      <c r="N220" s="331"/>
      <c r="O220" s="331"/>
      <c r="P220" s="331"/>
      <c r="Q220" s="331"/>
      <c r="R220" s="331"/>
      <c r="S220" s="331">
        <v>233</v>
      </c>
      <c r="T220" s="331">
        <v>150</v>
      </c>
      <c r="U220" s="331"/>
      <c r="V220" s="331"/>
      <c r="W220" s="331"/>
      <c r="X220" s="331"/>
      <c r="Y220" s="121"/>
    </row>
    <row r="221" spans="10:25" x14ac:dyDescent="0.2">
      <c r="J221" s="331"/>
      <c r="K221" s="331"/>
      <c r="L221" s="331"/>
      <c r="M221" s="331"/>
      <c r="N221" s="331"/>
      <c r="O221" s="331"/>
      <c r="P221" s="331"/>
      <c r="Q221" s="331"/>
      <c r="R221" s="331"/>
      <c r="S221" s="331">
        <v>234</v>
      </c>
      <c r="T221" s="331">
        <v>150</v>
      </c>
      <c r="U221" s="331"/>
      <c r="V221" s="331"/>
      <c r="W221" s="331"/>
      <c r="X221" s="331"/>
      <c r="Y221" s="121"/>
    </row>
    <row r="222" spans="10:25" x14ac:dyDescent="0.2">
      <c r="J222" s="331"/>
      <c r="K222" s="331"/>
      <c r="L222" s="331"/>
      <c r="M222" s="331"/>
      <c r="N222" s="331"/>
      <c r="O222" s="331"/>
      <c r="P222" s="331"/>
      <c r="Q222" s="331"/>
      <c r="R222" s="331"/>
      <c r="S222" s="331">
        <v>235</v>
      </c>
      <c r="T222" s="331">
        <v>150</v>
      </c>
      <c r="U222" s="331"/>
      <c r="V222" s="331"/>
      <c r="W222" s="331"/>
      <c r="X222" s="331"/>
      <c r="Y222" s="121"/>
    </row>
    <row r="223" spans="10:25" x14ac:dyDescent="0.2">
      <c r="J223" s="331"/>
      <c r="K223" s="331"/>
      <c r="L223" s="331"/>
      <c r="M223" s="331"/>
      <c r="N223" s="331"/>
      <c r="O223" s="331"/>
      <c r="P223" s="331"/>
      <c r="Q223" s="331"/>
      <c r="R223" s="331"/>
      <c r="S223" s="331">
        <v>236</v>
      </c>
      <c r="T223" s="331">
        <v>150</v>
      </c>
      <c r="U223" s="331"/>
      <c r="V223" s="331"/>
      <c r="W223" s="331"/>
      <c r="X223" s="331"/>
      <c r="Y223" s="121"/>
    </row>
    <row r="224" spans="10:25" x14ac:dyDescent="0.2">
      <c r="J224" s="331"/>
      <c r="K224" s="331"/>
      <c r="L224" s="331"/>
      <c r="M224" s="331"/>
      <c r="N224" s="331"/>
      <c r="O224" s="331"/>
      <c r="P224" s="331"/>
      <c r="Q224" s="331"/>
      <c r="R224" s="331"/>
      <c r="S224" s="331">
        <v>237</v>
      </c>
      <c r="T224" s="331">
        <v>150</v>
      </c>
      <c r="U224" s="331"/>
      <c r="V224" s="331"/>
      <c r="W224" s="331"/>
      <c r="X224" s="331"/>
      <c r="Y224" s="121"/>
    </row>
    <row r="225" spans="10:25" x14ac:dyDescent="0.2">
      <c r="J225" s="331"/>
      <c r="K225" s="331"/>
      <c r="L225" s="331"/>
      <c r="M225" s="331"/>
      <c r="N225" s="331"/>
      <c r="O225" s="331"/>
      <c r="P225" s="331"/>
      <c r="Q225" s="331"/>
      <c r="R225" s="331"/>
      <c r="S225" s="331">
        <v>238</v>
      </c>
      <c r="T225" s="331">
        <v>150</v>
      </c>
      <c r="U225" s="331"/>
      <c r="V225" s="331"/>
      <c r="W225" s="331"/>
      <c r="X225" s="331"/>
      <c r="Y225" s="121"/>
    </row>
    <row r="226" spans="10:25" x14ac:dyDescent="0.2">
      <c r="J226" s="331"/>
      <c r="K226" s="331"/>
      <c r="L226" s="331"/>
      <c r="M226" s="331"/>
      <c r="N226" s="331"/>
      <c r="O226" s="331"/>
      <c r="P226" s="331"/>
      <c r="Q226" s="331"/>
      <c r="R226" s="331"/>
      <c r="S226" s="331">
        <v>239</v>
      </c>
      <c r="T226" s="331">
        <v>150</v>
      </c>
      <c r="U226" s="331"/>
      <c r="V226" s="331"/>
      <c r="W226" s="331"/>
      <c r="X226" s="331"/>
      <c r="Y226" s="121"/>
    </row>
    <row r="227" spans="10:25" x14ac:dyDescent="0.2">
      <c r="J227" s="331"/>
      <c r="K227" s="331"/>
      <c r="L227" s="331"/>
      <c r="M227" s="331"/>
      <c r="N227" s="331"/>
      <c r="O227" s="331"/>
      <c r="P227" s="331"/>
      <c r="Q227" s="331"/>
      <c r="R227" s="331"/>
      <c r="S227" s="331">
        <v>240</v>
      </c>
      <c r="T227" s="331">
        <v>150</v>
      </c>
      <c r="U227" s="331"/>
      <c r="V227" s="331"/>
      <c r="W227" s="331"/>
      <c r="X227" s="331"/>
      <c r="Y227" s="121"/>
    </row>
    <row r="228" spans="10:25" x14ac:dyDescent="0.2">
      <c r="J228" s="331"/>
      <c r="K228" s="331"/>
      <c r="L228" s="331"/>
      <c r="M228" s="331"/>
      <c r="N228" s="331"/>
      <c r="O228" s="331"/>
      <c r="P228" s="331"/>
      <c r="Q228" s="331"/>
      <c r="R228" s="331"/>
      <c r="S228" s="331">
        <v>241</v>
      </c>
      <c r="T228" s="331">
        <v>150</v>
      </c>
      <c r="U228" s="331"/>
      <c r="V228" s="331"/>
      <c r="W228" s="331"/>
      <c r="X228" s="331"/>
      <c r="Y228" s="121"/>
    </row>
    <row r="229" spans="10:25" x14ac:dyDescent="0.2">
      <c r="J229" s="331"/>
      <c r="K229" s="331"/>
      <c r="L229" s="331"/>
      <c r="M229" s="331"/>
      <c r="N229" s="331"/>
      <c r="O229" s="331"/>
      <c r="P229" s="331"/>
      <c r="Q229" s="331"/>
      <c r="R229" s="331"/>
      <c r="S229" s="331">
        <v>242</v>
      </c>
      <c r="T229" s="331">
        <v>150</v>
      </c>
      <c r="U229" s="331"/>
      <c r="V229" s="331"/>
      <c r="W229" s="331"/>
      <c r="X229" s="331"/>
      <c r="Y229" s="121"/>
    </row>
    <row r="230" spans="10:25" x14ac:dyDescent="0.2">
      <c r="J230" s="331"/>
      <c r="K230" s="331"/>
      <c r="L230" s="331"/>
      <c r="M230" s="331"/>
      <c r="N230" s="331"/>
      <c r="O230" s="331"/>
      <c r="P230" s="331"/>
      <c r="Q230" s="331"/>
      <c r="R230" s="331"/>
      <c r="S230" s="331">
        <v>243</v>
      </c>
      <c r="T230" s="331">
        <v>150</v>
      </c>
      <c r="U230" s="331"/>
      <c r="V230" s="331"/>
      <c r="W230" s="331"/>
      <c r="X230" s="331"/>
      <c r="Y230" s="121"/>
    </row>
    <row r="231" spans="10:25" x14ac:dyDescent="0.2">
      <c r="J231" s="331"/>
      <c r="K231" s="331"/>
      <c r="L231" s="331"/>
      <c r="M231" s="331"/>
      <c r="N231" s="331"/>
      <c r="O231" s="331"/>
      <c r="P231" s="331"/>
      <c r="Q231" s="331"/>
      <c r="R231" s="331"/>
      <c r="S231" s="331">
        <v>244</v>
      </c>
      <c r="T231" s="331">
        <v>150</v>
      </c>
      <c r="U231" s="331"/>
      <c r="V231" s="331"/>
      <c r="W231" s="331"/>
      <c r="X231" s="331"/>
      <c r="Y231" s="121"/>
    </row>
    <row r="232" spans="10:25" x14ac:dyDescent="0.2">
      <c r="J232" s="331"/>
      <c r="K232" s="331"/>
      <c r="L232" s="331"/>
      <c r="M232" s="331"/>
      <c r="N232" s="331"/>
      <c r="O232" s="331"/>
      <c r="P232" s="331"/>
      <c r="Q232" s="331"/>
      <c r="R232" s="331"/>
      <c r="S232" s="331">
        <v>245</v>
      </c>
      <c r="T232" s="331">
        <v>150</v>
      </c>
      <c r="U232" s="331"/>
      <c r="V232" s="331"/>
      <c r="W232" s="331"/>
      <c r="X232" s="331"/>
      <c r="Y232" s="121"/>
    </row>
    <row r="233" spans="10:25" x14ac:dyDescent="0.2">
      <c r="J233" s="331"/>
      <c r="K233" s="331"/>
      <c r="L233" s="331"/>
      <c r="M233" s="331"/>
      <c r="N233" s="331"/>
      <c r="O233" s="331"/>
      <c r="P233" s="331"/>
      <c r="Q233" s="331"/>
      <c r="R233" s="331"/>
      <c r="S233" s="331">
        <v>246</v>
      </c>
      <c r="T233" s="331">
        <v>150</v>
      </c>
      <c r="U233" s="331"/>
      <c r="V233" s="331"/>
      <c r="W233" s="331"/>
      <c r="X233" s="331"/>
      <c r="Y233" s="121"/>
    </row>
    <row r="234" spans="10:25" x14ac:dyDescent="0.2">
      <c r="J234" s="331"/>
      <c r="K234" s="331"/>
      <c r="L234" s="331"/>
      <c r="M234" s="331"/>
      <c r="N234" s="331"/>
      <c r="O234" s="331"/>
      <c r="P234" s="331"/>
      <c r="Q234" s="331"/>
      <c r="R234" s="331"/>
      <c r="S234" s="331">
        <v>247</v>
      </c>
      <c r="T234" s="331">
        <v>150</v>
      </c>
      <c r="U234" s="331"/>
      <c r="V234" s="331"/>
      <c r="W234" s="331"/>
      <c r="X234" s="331"/>
      <c r="Y234" s="121"/>
    </row>
    <row r="235" spans="10:25" x14ac:dyDescent="0.2">
      <c r="J235" s="331"/>
      <c r="K235" s="331"/>
      <c r="L235" s="331"/>
      <c r="M235" s="331"/>
      <c r="N235" s="331"/>
      <c r="O235" s="331"/>
      <c r="P235" s="331"/>
      <c r="Q235" s="331"/>
      <c r="R235" s="331"/>
      <c r="S235" s="331">
        <v>248</v>
      </c>
      <c r="T235" s="331">
        <v>150</v>
      </c>
      <c r="U235" s="331"/>
      <c r="V235" s="331"/>
      <c r="W235" s="331"/>
      <c r="X235" s="331"/>
      <c r="Y235" s="121"/>
    </row>
    <row r="236" spans="10:25" x14ac:dyDescent="0.2">
      <c r="J236" s="331"/>
      <c r="K236" s="331"/>
      <c r="L236" s="331"/>
      <c r="M236" s="331"/>
      <c r="N236" s="331"/>
      <c r="O236" s="331"/>
      <c r="P236" s="331"/>
      <c r="Q236" s="331"/>
      <c r="R236" s="331"/>
      <c r="S236" s="331">
        <v>249</v>
      </c>
      <c r="T236" s="331">
        <v>150</v>
      </c>
      <c r="U236" s="331"/>
      <c r="V236" s="331"/>
      <c r="W236" s="331"/>
      <c r="X236" s="331"/>
      <c r="Y236" s="121"/>
    </row>
    <row r="237" spans="10:25" x14ac:dyDescent="0.2">
      <c r="J237" s="331"/>
      <c r="K237" s="331"/>
      <c r="L237" s="331"/>
      <c r="M237" s="331"/>
      <c r="N237" s="331"/>
      <c r="O237" s="331"/>
      <c r="P237" s="331"/>
      <c r="Q237" s="331"/>
      <c r="R237" s="331"/>
      <c r="S237" s="331">
        <v>250</v>
      </c>
      <c r="T237" s="331">
        <v>150</v>
      </c>
      <c r="U237" s="331"/>
      <c r="V237" s="331"/>
      <c r="W237" s="331"/>
      <c r="X237" s="331"/>
      <c r="Y237" s="121"/>
    </row>
    <row r="238" spans="10:25" x14ac:dyDescent="0.2">
      <c r="J238" s="331"/>
      <c r="K238" s="331"/>
      <c r="L238" s="331"/>
      <c r="M238" s="331"/>
      <c r="N238" s="331"/>
      <c r="O238" s="331"/>
      <c r="P238" s="331"/>
      <c r="Q238" s="331"/>
      <c r="R238" s="331"/>
      <c r="S238" s="331">
        <v>251</v>
      </c>
      <c r="T238" s="331">
        <v>150</v>
      </c>
      <c r="U238" s="331"/>
      <c r="V238" s="331"/>
      <c r="W238" s="331"/>
      <c r="X238" s="331"/>
      <c r="Y238" s="121"/>
    </row>
    <row r="239" spans="10:25" x14ac:dyDescent="0.2">
      <c r="J239" s="331"/>
      <c r="K239" s="331"/>
      <c r="L239" s="331"/>
      <c r="M239" s="331"/>
      <c r="N239" s="331"/>
      <c r="O239" s="331"/>
      <c r="P239" s="331"/>
      <c r="Q239" s="331"/>
      <c r="R239" s="331"/>
      <c r="S239" s="331">
        <v>252</v>
      </c>
      <c r="T239" s="331">
        <v>150</v>
      </c>
      <c r="U239" s="331"/>
      <c r="V239" s="331"/>
      <c r="W239" s="331"/>
      <c r="X239" s="331"/>
      <c r="Y239" s="121"/>
    </row>
    <row r="240" spans="10:25" x14ac:dyDescent="0.2">
      <c r="J240" s="331"/>
      <c r="K240" s="331"/>
      <c r="L240" s="331"/>
      <c r="M240" s="331"/>
      <c r="N240" s="331"/>
      <c r="O240" s="331"/>
      <c r="P240" s="331"/>
      <c r="Q240" s="331"/>
      <c r="R240" s="331"/>
      <c r="S240" s="331">
        <v>253</v>
      </c>
      <c r="T240" s="331">
        <v>150</v>
      </c>
      <c r="U240" s="331"/>
      <c r="V240" s="331"/>
      <c r="W240" s="331"/>
      <c r="X240" s="331"/>
      <c r="Y240" s="121"/>
    </row>
    <row r="241" spans="10:25" x14ac:dyDescent="0.2">
      <c r="J241" s="331"/>
      <c r="K241" s="331"/>
      <c r="L241" s="331"/>
      <c r="M241" s="331"/>
      <c r="N241" s="331"/>
      <c r="O241" s="331"/>
      <c r="P241" s="331"/>
      <c r="Q241" s="331"/>
      <c r="R241" s="331"/>
      <c r="S241" s="331">
        <v>254</v>
      </c>
      <c r="T241" s="331">
        <v>150</v>
      </c>
      <c r="U241" s="331"/>
      <c r="V241" s="331"/>
      <c r="W241" s="331"/>
      <c r="X241" s="331"/>
      <c r="Y241" s="121"/>
    </row>
    <row r="242" spans="10:25" x14ac:dyDescent="0.2">
      <c r="J242" s="331"/>
      <c r="K242" s="331"/>
      <c r="L242" s="331"/>
      <c r="M242" s="331"/>
      <c r="N242" s="331"/>
      <c r="O242" s="331"/>
      <c r="P242" s="331"/>
      <c r="Q242" s="331"/>
      <c r="R242" s="331"/>
      <c r="S242" s="331">
        <v>255</v>
      </c>
      <c r="T242" s="331">
        <v>150</v>
      </c>
      <c r="U242" s="331"/>
      <c r="V242" s="331"/>
      <c r="W242" s="331"/>
      <c r="X242" s="331"/>
      <c r="Y242" s="121"/>
    </row>
    <row r="243" spans="10:25" x14ac:dyDescent="0.2">
      <c r="J243" s="331"/>
      <c r="K243" s="331"/>
      <c r="L243" s="331"/>
      <c r="M243" s="331"/>
      <c r="N243" s="331"/>
      <c r="O243" s="331"/>
      <c r="P243" s="331"/>
      <c r="Q243" s="331"/>
      <c r="R243" s="331"/>
      <c r="S243" s="331">
        <v>256</v>
      </c>
      <c r="T243" s="331">
        <v>150</v>
      </c>
      <c r="U243" s="331"/>
      <c r="V243" s="331"/>
      <c r="W243" s="331"/>
      <c r="X243" s="331"/>
      <c r="Y243" s="121"/>
    </row>
    <row r="244" spans="10:25" x14ac:dyDescent="0.2">
      <c r="J244" s="331"/>
      <c r="K244" s="331"/>
      <c r="L244" s="331"/>
      <c r="M244" s="331"/>
      <c r="N244" s="331"/>
      <c r="O244" s="331"/>
      <c r="P244" s="331"/>
      <c r="Q244" s="331"/>
      <c r="R244" s="331"/>
      <c r="S244" s="331">
        <v>257</v>
      </c>
      <c r="T244" s="331">
        <v>150</v>
      </c>
      <c r="U244" s="331"/>
      <c r="V244" s="331"/>
      <c r="W244" s="331"/>
      <c r="X244" s="331"/>
      <c r="Y244" s="121"/>
    </row>
    <row r="245" spans="10:25" x14ac:dyDescent="0.2">
      <c r="J245" s="331"/>
      <c r="K245" s="331"/>
      <c r="L245" s="331"/>
      <c r="M245" s="331"/>
      <c r="N245" s="331"/>
      <c r="O245" s="331"/>
      <c r="P245" s="331"/>
      <c r="Q245" s="331"/>
      <c r="R245" s="331"/>
      <c r="S245" s="331">
        <v>258</v>
      </c>
      <c r="T245" s="331">
        <v>150</v>
      </c>
      <c r="U245" s="331"/>
      <c r="V245" s="331"/>
      <c r="W245" s="331"/>
      <c r="X245" s="331"/>
      <c r="Y245" s="121"/>
    </row>
    <row r="246" spans="10:25" x14ac:dyDescent="0.2">
      <c r="J246" s="331"/>
      <c r="K246" s="331"/>
      <c r="L246" s="331"/>
      <c r="M246" s="331"/>
      <c r="N246" s="331"/>
      <c r="O246" s="331"/>
      <c r="P246" s="331"/>
      <c r="Q246" s="331"/>
      <c r="R246" s="331"/>
      <c r="S246" s="331">
        <v>259</v>
      </c>
      <c r="T246" s="331">
        <v>150</v>
      </c>
      <c r="U246" s="331"/>
      <c r="V246" s="331"/>
      <c r="W246" s="331"/>
      <c r="X246" s="331"/>
      <c r="Y246" s="121"/>
    </row>
    <row r="247" spans="10:25" x14ac:dyDescent="0.2">
      <c r="J247" s="331"/>
      <c r="K247" s="331"/>
      <c r="L247" s="331"/>
      <c r="M247" s="331"/>
      <c r="N247" s="331"/>
      <c r="O247" s="331"/>
      <c r="P247" s="331"/>
      <c r="Q247" s="331"/>
      <c r="R247" s="331"/>
      <c r="S247" s="331">
        <v>260</v>
      </c>
      <c r="T247" s="331">
        <v>150</v>
      </c>
      <c r="U247" s="331"/>
      <c r="V247" s="331"/>
      <c r="W247" s="331"/>
      <c r="X247" s="331"/>
      <c r="Y247" s="121"/>
    </row>
    <row r="248" spans="10:25" x14ac:dyDescent="0.2">
      <c r="J248" s="331"/>
      <c r="K248" s="331"/>
      <c r="L248" s="331"/>
      <c r="M248" s="331"/>
      <c r="N248" s="331"/>
      <c r="O248" s="331"/>
      <c r="P248" s="331"/>
      <c r="Q248" s="331"/>
      <c r="R248" s="331"/>
      <c r="S248" s="331">
        <v>261</v>
      </c>
      <c r="T248" s="331">
        <v>150</v>
      </c>
      <c r="U248" s="331"/>
      <c r="V248" s="331"/>
      <c r="W248" s="331"/>
      <c r="X248" s="331"/>
      <c r="Y248" s="121"/>
    </row>
    <row r="249" spans="10:25" x14ac:dyDescent="0.2">
      <c r="J249" s="331"/>
      <c r="K249" s="331"/>
      <c r="L249" s="331"/>
      <c r="M249" s="331"/>
      <c r="N249" s="331"/>
      <c r="O249" s="331"/>
      <c r="P249" s="331"/>
      <c r="Q249" s="331"/>
      <c r="R249" s="331"/>
      <c r="S249" s="331">
        <v>262</v>
      </c>
      <c r="T249" s="331">
        <v>150</v>
      </c>
      <c r="U249" s="331"/>
      <c r="V249" s="331"/>
      <c r="W249" s="331"/>
      <c r="X249" s="331"/>
      <c r="Y249" s="121"/>
    </row>
    <row r="250" spans="10:25" x14ac:dyDescent="0.2">
      <c r="J250" s="331"/>
      <c r="K250" s="331"/>
      <c r="L250" s="331"/>
      <c r="M250" s="331"/>
      <c r="N250" s="331"/>
      <c r="O250" s="331"/>
      <c r="P250" s="331"/>
      <c r="Q250" s="331"/>
      <c r="R250" s="331"/>
      <c r="S250" s="331">
        <v>263</v>
      </c>
      <c r="T250" s="331">
        <v>150</v>
      </c>
      <c r="U250" s="331"/>
      <c r="V250" s="331"/>
      <c r="W250" s="331"/>
      <c r="X250" s="331"/>
      <c r="Y250" s="121"/>
    </row>
    <row r="251" spans="10:25" x14ac:dyDescent="0.2">
      <c r="J251" s="331"/>
      <c r="K251" s="331"/>
      <c r="L251" s="331"/>
      <c r="M251" s="331"/>
      <c r="N251" s="331"/>
      <c r="O251" s="331"/>
      <c r="P251" s="331"/>
      <c r="Q251" s="331"/>
      <c r="R251" s="331"/>
      <c r="S251" s="331">
        <v>264</v>
      </c>
      <c r="T251" s="331">
        <v>150</v>
      </c>
      <c r="U251" s="331"/>
      <c r="V251" s="331"/>
      <c r="W251" s="331"/>
      <c r="X251" s="331"/>
      <c r="Y251" s="121"/>
    </row>
    <row r="252" spans="10:25" x14ac:dyDescent="0.2">
      <c r="J252" s="331"/>
      <c r="K252" s="331"/>
      <c r="L252" s="331"/>
      <c r="M252" s="331"/>
      <c r="N252" s="331"/>
      <c r="O252" s="331"/>
      <c r="P252" s="331"/>
      <c r="Q252" s="331"/>
      <c r="R252" s="331"/>
      <c r="S252" s="331">
        <v>265</v>
      </c>
      <c r="T252" s="331">
        <v>150</v>
      </c>
      <c r="U252" s="331"/>
      <c r="V252" s="331"/>
      <c r="W252" s="331"/>
      <c r="X252" s="331"/>
      <c r="Y252" s="121"/>
    </row>
    <row r="253" spans="10:25" x14ac:dyDescent="0.2">
      <c r="J253" s="331"/>
      <c r="K253" s="331"/>
      <c r="L253" s="331"/>
      <c r="M253" s="331"/>
      <c r="N253" s="331"/>
      <c r="O253" s="331"/>
      <c r="P253" s="331"/>
      <c r="Q253" s="331"/>
      <c r="R253" s="331"/>
      <c r="S253" s="331">
        <v>266</v>
      </c>
      <c r="T253" s="331">
        <v>150</v>
      </c>
      <c r="U253" s="331"/>
      <c r="V253" s="331"/>
      <c r="W253" s="331"/>
      <c r="X253" s="331"/>
      <c r="Y253" s="121"/>
    </row>
    <row r="254" spans="10:25" x14ac:dyDescent="0.2">
      <c r="J254" s="331"/>
      <c r="K254" s="331"/>
      <c r="L254" s="331"/>
      <c r="M254" s="331"/>
      <c r="N254" s="331"/>
      <c r="O254" s="331"/>
      <c r="P254" s="331"/>
      <c r="Q254" s="331"/>
      <c r="R254" s="331"/>
      <c r="S254" s="331">
        <v>267</v>
      </c>
      <c r="T254" s="331">
        <v>150</v>
      </c>
      <c r="U254" s="331"/>
      <c r="V254" s="331"/>
      <c r="W254" s="331"/>
      <c r="X254" s="331"/>
      <c r="Y254" s="121"/>
    </row>
    <row r="255" spans="10:25" x14ac:dyDescent="0.2">
      <c r="J255" s="331"/>
      <c r="K255" s="331"/>
      <c r="L255" s="331"/>
      <c r="M255" s="331"/>
      <c r="N255" s="331"/>
      <c r="O255" s="331"/>
      <c r="P255" s="331"/>
      <c r="Q255" s="331"/>
      <c r="R255" s="331"/>
      <c r="S255" s="331">
        <v>268</v>
      </c>
      <c r="T255" s="331">
        <v>150</v>
      </c>
      <c r="U255" s="331"/>
      <c r="V255" s="331"/>
      <c r="W255" s="331"/>
      <c r="X255" s="331"/>
      <c r="Y255" s="121"/>
    </row>
    <row r="256" spans="10:25" x14ac:dyDescent="0.2">
      <c r="J256" s="331"/>
      <c r="K256" s="331"/>
      <c r="L256" s="331"/>
      <c r="M256" s="331"/>
      <c r="N256" s="331"/>
      <c r="O256" s="331"/>
      <c r="P256" s="331"/>
      <c r="Q256" s="331"/>
      <c r="R256" s="331"/>
      <c r="S256" s="331">
        <v>269</v>
      </c>
      <c r="T256" s="331">
        <v>150</v>
      </c>
      <c r="U256" s="331"/>
      <c r="V256" s="331"/>
      <c r="W256" s="331"/>
      <c r="X256" s="331"/>
      <c r="Y256" s="121"/>
    </row>
    <row r="257" spans="10:25" x14ac:dyDescent="0.2">
      <c r="J257" s="331"/>
      <c r="K257" s="331"/>
      <c r="L257" s="331"/>
      <c r="M257" s="331"/>
      <c r="N257" s="331"/>
      <c r="O257" s="331"/>
      <c r="P257" s="331"/>
      <c r="Q257" s="331"/>
      <c r="R257" s="331"/>
      <c r="S257" s="331">
        <v>270</v>
      </c>
      <c r="T257" s="331">
        <v>150</v>
      </c>
      <c r="U257" s="331"/>
      <c r="V257" s="331"/>
      <c r="W257" s="331"/>
      <c r="X257" s="331"/>
      <c r="Y257" s="121"/>
    </row>
    <row r="258" spans="10:25" x14ac:dyDescent="0.2">
      <c r="J258" s="331"/>
      <c r="K258" s="331"/>
      <c r="L258" s="331"/>
      <c r="M258" s="331"/>
      <c r="N258" s="331"/>
      <c r="O258" s="331"/>
      <c r="P258" s="331"/>
      <c r="Q258" s="331"/>
      <c r="R258" s="331"/>
      <c r="S258" s="331">
        <v>271</v>
      </c>
      <c r="T258" s="331">
        <v>150</v>
      </c>
      <c r="U258" s="331"/>
      <c r="V258" s="331"/>
      <c r="W258" s="331"/>
      <c r="X258" s="331"/>
      <c r="Y258" s="121"/>
    </row>
    <row r="259" spans="10:25" x14ac:dyDescent="0.2">
      <c r="J259" s="331"/>
      <c r="K259" s="331"/>
      <c r="L259" s="331"/>
      <c r="M259" s="331"/>
      <c r="N259" s="331"/>
      <c r="O259" s="331"/>
      <c r="P259" s="331"/>
      <c r="Q259" s="331"/>
      <c r="R259" s="331"/>
      <c r="S259" s="331">
        <v>272</v>
      </c>
      <c r="T259" s="331">
        <v>150</v>
      </c>
      <c r="U259" s="331"/>
      <c r="V259" s="331"/>
      <c r="W259" s="331"/>
      <c r="X259" s="331"/>
      <c r="Y259" s="121"/>
    </row>
    <row r="260" spans="10:25" x14ac:dyDescent="0.2">
      <c r="J260" s="331"/>
      <c r="K260" s="331"/>
      <c r="L260" s="331"/>
      <c r="M260" s="331"/>
      <c r="N260" s="331"/>
      <c r="O260" s="331"/>
      <c r="P260" s="331"/>
      <c r="Q260" s="331"/>
      <c r="R260" s="331"/>
      <c r="S260" s="331">
        <v>273</v>
      </c>
      <c r="T260" s="331">
        <v>150</v>
      </c>
      <c r="U260" s="331"/>
      <c r="V260" s="331"/>
      <c r="W260" s="331"/>
      <c r="X260" s="331"/>
      <c r="Y260" s="121"/>
    </row>
    <row r="261" spans="10:25" x14ac:dyDescent="0.2">
      <c r="J261" s="331"/>
      <c r="K261" s="331"/>
      <c r="L261" s="331"/>
      <c r="M261" s="331"/>
      <c r="N261" s="331"/>
      <c r="O261" s="331"/>
      <c r="P261" s="331"/>
      <c r="Q261" s="331"/>
      <c r="R261" s="331"/>
      <c r="S261" s="331">
        <v>274</v>
      </c>
      <c r="T261" s="331">
        <v>150</v>
      </c>
      <c r="U261" s="331"/>
      <c r="V261" s="331"/>
      <c r="W261" s="331"/>
      <c r="X261" s="331"/>
      <c r="Y261" s="121"/>
    </row>
    <row r="262" spans="10:25" x14ac:dyDescent="0.2">
      <c r="J262" s="331"/>
      <c r="K262" s="331"/>
      <c r="L262" s="331"/>
      <c r="M262" s="331"/>
      <c r="N262" s="331"/>
      <c r="O262" s="331"/>
      <c r="P262" s="331"/>
      <c r="Q262" s="331"/>
      <c r="R262" s="331"/>
      <c r="S262" s="331">
        <v>275</v>
      </c>
      <c r="T262" s="331">
        <v>150</v>
      </c>
      <c r="U262" s="331"/>
      <c r="V262" s="331"/>
      <c r="W262" s="331"/>
      <c r="X262" s="331"/>
      <c r="Y262" s="121"/>
    </row>
    <row r="263" spans="10:25" x14ac:dyDescent="0.2">
      <c r="J263" s="331"/>
      <c r="K263" s="331"/>
      <c r="L263" s="331"/>
      <c r="M263" s="331"/>
      <c r="N263" s="331"/>
      <c r="O263" s="331"/>
      <c r="P263" s="331"/>
      <c r="Q263" s="331"/>
      <c r="R263" s="331"/>
      <c r="S263" s="331">
        <v>276</v>
      </c>
      <c r="T263" s="331">
        <v>150</v>
      </c>
      <c r="U263" s="331"/>
      <c r="V263" s="331"/>
      <c r="W263" s="331"/>
      <c r="X263" s="331"/>
      <c r="Y263" s="121"/>
    </row>
    <row r="264" spans="10:25" x14ac:dyDescent="0.2">
      <c r="J264" s="331"/>
      <c r="K264" s="331"/>
      <c r="L264" s="331"/>
      <c r="M264" s="331"/>
      <c r="N264" s="331"/>
      <c r="O264" s="331"/>
      <c r="P264" s="331"/>
      <c r="Q264" s="331"/>
      <c r="R264" s="331"/>
      <c r="S264" s="331">
        <v>277</v>
      </c>
      <c r="T264" s="331">
        <v>150</v>
      </c>
      <c r="U264" s="331"/>
      <c r="V264" s="331"/>
      <c r="W264" s="331"/>
      <c r="X264" s="331"/>
      <c r="Y264" s="121"/>
    </row>
    <row r="265" spans="10:25" x14ac:dyDescent="0.2">
      <c r="J265" s="331"/>
      <c r="K265" s="331"/>
      <c r="L265" s="331"/>
      <c r="M265" s="331"/>
      <c r="N265" s="331"/>
      <c r="O265" s="331"/>
      <c r="P265" s="331"/>
      <c r="Q265" s="331"/>
      <c r="R265" s="331"/>
      <c r="S265" s="331">
        <v>278</v>
      </c>
      <c r="T265" s="331">
        <v>150</v>
      </c>
      <c r="U265" s="331"/>
      <c r="V265" s="331"/>
      <c r="W265" s="331"/>
      <c r="X265" s="331"/>
      <c r="Y265" s="121"/>
    </row>
    <row r="266" spans="10:25" x14ac:dyDescent="0.2">
      <c r="J266" s="331"/>
      <c r="K266" s="331"/>
      <c r="L266" s="331"/>
      <c r="M266" s="331"/>
      <c r="N266" s="331"/>
      <c r="O266" s="331"/>
      <c r="P266" s="331"/>
      <c r="Q266" s="331"/>
      <c r="R266" s="331"/>
      <c r="S266" s="331">
        <v>279</v>
      </c>
      <c r="T266" s="331">
        <v>150</v>
      </c>
      <c r="U266" s="331"/>
      <c r="V266" s="331"/>
      <c r="W266" s="331"/>
      <c r="X266" s="331"/>
      <c r="Y266" s="121"/>
    </row>
    <row r="267" spans="10:25" x14ac:dyDescent="0.2">
      <c r="J267" s="331"/>
      <c r="K267" s="331"/>
      <c r="L267" s="331"/>
      <c r="M267" s="331"/>
      <c r="N267" s="331"/>
      <c r="O267" s="331"/>
      <c r="P267" s="331"/>
      <c r="Q267" s="331"/>
      <c r="R267" s="331"/>
      <c r="S267" s="331">
        <v>280</v>
      </c>
      <c r="T267" s="331">
        <v>150</v>
      </c>
      <c r="U267" s="331"/>
      <c r="V267" s="331"/>
      <c r="W267" s="331"/>
      <c r="X267" s="331"/>
      <c r="Y267" s="121"/>
    </row>
    <row r="268" spans="10:25" x14ac:dyDescent="0.2">
      <c r="J268" s="331"/>
      <c r="K268" s="331"/>
      <c r="L268" s="331"/>
      <c r="M268" s="331"/>
      <c r="N268" s="331"/>
      <c r="O268" s="331"/>
      <c r="P268" s="331"/>
      <c r="Q268" s="331"/>
      <c r="R268" s="331"/>
      <c r="S268" s="331">
        <v>281</v>
      </c>
      <c r="T268" s="331">
        <v>150</v>
      </c>
      <c r="U268" s="331"/>
      <c r="V268" s="331"/>
      <c r="W268" s="331"/>
      <c r="X268" s="331"/>
      <c r="Y268" s="121"/>
    </row>
    <row r="269" spans="10:25" x14ac:dyDescent="0.2">
      <c r="J269" s="331"/>
      <c r="K269" s="331"/>
      <c r="L269" s="331"/>
      <c r="M269" s="331"/>
      <c r="N269" s="331"/>
      <c r="O269" s="331"/>
      <c r="P269" s="331"/>
      <c r="Q269" s="331"/>
      <c r="R269" s="331"/>
      <c r="S269" s="331">
        <v>282</v>
      </c>
      <c r="T269" s="331">
        <v>150</v>
      </c>
      <c r="U269" s="331"/>
      <c r="V269" s="331"/>
      <c r="W269" s="331"/>
      <c r="X269" s="331"/>
      <c r="Y269" s="121"/>
    </row>
    <row r="270" spans="10:25" x14ac:dyDescent="0.2">
      <c r="J270" s="331"/>
      <c r="K270" s="331"/>
      <c r="L270" s="331"/>
      <c r="M270" s="331"/>
      <c r="N270" s="331"/>
      <c r="O270" s="331"/>
      <c r="P270" s="331"/>
      <c r="Q270" s="331"/>
      <c r="R270" s="331"/>
      <c r="S270" s="331">
        <v>283</v>
      </c>
      <c r="T270" s="331">
        <v>150</v>
      </c>
      <c r="U270" s="331"/>
      <c r="V270" s="331"/>
      <c r="W270" s="331"/>
      <c r="X270" s="331"/>
      <c r="Y270" s="121"/>
    </row>
    <row r="271" spans="10:25" x14ac:dyDescent="0.2">
      <c r="J271" s="331"/>
      <c r="K271" s="331"/>
      <c r="L271" s="331"/>
      <c r="M271" s="331"/>
      <c r="N271" s="331"/>
      <c r="O271" s="331"/>
      <c r="P271" s="331"/>
      <c r="Q271" s="331"/>
      <c r="R271" s="331"/>
      <c r="S271" s="331">
        <v>284</v>
      </c>
      <c r="T271" s="331">
        <v>150</v>
      </c>
      <c r="U271" s="331"/>
      <c r="V271" s="331"/>
      <c r="W271" s="331"/>
      <c r="X271" s="331"/>
      <c r="Y271" s="121"/>
    </row>
    <row r="272" spans="10:25" x14ac:dyDescent="0.2">
      <c r="J272" s="331"/>
      <c r="K272" s="331"/>
      <c r="L272" s="331"/>
      <c r="M272" s="331"/>
      <c r="N272" s="331"/>
      <c r="O272" s="331"/>
      <c r="P272" s="331"/>
      <c r="Q272" s="331"/>
      <c r="R272" s="331"/>
      <c r="S272" s="331">
        <v>285</v>
      </c>
      <c r="T272" s="331">
        <v>150</v>
      </c>
      <c r="U272" s="331"/>
      <c r="V272" s="331"/>
      <c r="W272" s="331"/>
      <c r="X272" s="331"/>
      <c r="Y272" s="121"/>
    </row>
    <row r="273" spans="10:25" x14ac:dyDescent="0.2">
      <c r="J273" s="331"/>
      <c r="K273" s="331"/>
      <c r="L273" s="331"/>
      <c r="M273" s="331"/>
      <c r="N273" s="331"/>
      <c r="O273" s="331"/>
      <c r="P273" s="331"/>
      <c r="Q273" s="331"/>
      <c r="R273" s="331"/>
      <c r="S273" s="331">
        <v>286</v>
      </c>
      <c r="T273" s="331">
        <v>150</v>
      </c>
      <c r="U273" s="331"/>
      <c r="V273" s="331"/>
      <c r="W273" s="331"/>
      <c r="X273" s="331"/>
      <c r="Y273" s="121"/>
    </row>
    <row r="274" spans="10:25" x14ac:dyDescent="0.2">
      <c r="J274" s="331"/>
      <c r="K274" s="331"/>
      <c r="L274" s="331"/>
      <c r="M274" s="331"/>
      <c r="N274" s="331"/>
      <c r="O274" s="331"/>
      <c r="P274" s="331"/>
      <c r="Q274" s="331"/>
      <c r="R274" s="331"/>
      <c r="S274" s="331">
        <v>287</v>
      </c>
      <c r="T274" s="331">
        <v>150</v>
      </c>
      <c r="U274" s="331"/>
      <c r="V274" s="331"/>
      <c r="W274" s="331"/>
      <c r="X274" s="331"/>
      <c r="Y274" s="121"/>
    </row>
    <row r="275" spans="10:25" x14ac:dyDescent="0.2">
      <c r="J275" s="331"/>
      <c r="K275" s="331"/>
      <c r="L275" s="331"/>
      <c r="M275" s="331"/>
      <c r="N275" s="331"/>
      <c r="O275" s="331"/>
      <c r="P275" s="331"/>
      <c r="Q275" s="331"/>
      <c r="R275" s="331"/>
      <c r="S275" s="331">
        <v>288</v>
      </c>
      <c r="T275" s="331">
        <v>150</v>
      </c>
      <c r="U275" s="331"/>
      <c r="V275" s="331"/>
      <c r="W275" s="331"/>
      <c r="X275" s="331"/>
      <c r="Y275" s="121"/>
    </row>
    <row r="276" spans="10:25" x14ac:dyDescent="0.2">
      <c r="J276" s="331"/>
      <c r="K276" s="331"/>
      <c r="L276" s="331"/>
      <c r="M276" s="331"/>
      <c r="N276" s="331"/>
      <c r="O276" s="331"/>
      <c r="P276" s="331"/>
      <c r="Q276" s="331"/>
      <c r="R276" s="331"/>
      <c r="S276" s="331">
        <v>289</v>
      </c>
      <c r="T276" s="331">
        <v>150</v>
      </c>
      <c r="U276" s="331"/>
      <c r="V276" s="331"/>
      <c r="W276" s="331"/>
      <c r="X276" s="331"/>
      <c r="Y276" s="121"/>
    </row>
    <row r="277" spans="10:25" x14ac:dyDescent="0.2">
      <c r="J277" s="331"/>
      <c r="K277" s="331"/>
      <c r="L277" s="331"/>
      <c r="M277" s="331"/>
      <c r="N277" s="331"/>
      <c r="O277" s="331"/>
      <c r="P277" s="331"/>
      <c r="Q277" s="331"/>
      <c r="R277" s="331"/>
      <c r="S277" s="331">
        <v>290</v>
      </c>
      <c r="T277" s="331">
        <v>150</v>
      </c>
      <c r="U277" s="331"/>
      <c r="V277" s="331"/>
      <c r="W277" s="331"/>
      <c r="X277" s="331"/>
      <c r="Y277" s="121"/>
    </row>
    <row r="278" spans="10:25" x14ac:dyDescent="0.2">
      <c r="J278" s="331"/>
      <c r="K278" s="331"/>
      <c r="L278" s="331"/>
      <c r="M278" s="331"/>
      <c r="N278" s="331"/>
      <c r="O278" s="331"/>
      <c r="P278" s="331"/>
      <c r="Q278" s="331"/>
      <c r="R278" s="331"/>
      <c r="S278" s="331">
        <v>291</v>
      </c>
      <c r="T278" s="331">
        <v>150</v>
      </c>
      <c r="U278" s="331"/>
      <c r="V278" s="331"/>
      <c r="W278" s="331"/>
      <c r="X278" s="331"/>
      <c r="Y278" s="121"/>
    </row>
    <row r="279" spans="10:25" x14ac:dyDescent="0.2">
      <c r="J279" s="331"/>
      <c r="K279" s="331"/>
      <c r="L279" s="331"/>
      <c r="M279" s="331"/>
      <c r="N279" s="331"/>
      <c r="O279" s="331"/>
      <c r="P279" s="331"/>
      <c r="Q279" s="331"/>
      <c r="R279" s="331"/>
      <c r="S279" s="331">
        <v>292</v>
      </c>
      <c r="T279" s="331">
        <v>150</v>
      </c>
      <c r="U279" s="331"/>
      <c r="V279" s="331"/>
      <c r="W279" s="331"/>
      <c r="X279" s="331"/>
      <c r="Y279" s="121"/>
    </row>
    <row r="280" spans="10:25" x14ac:dyDescent="0.2">
      <c r="J280" s="331"/>
      <c r="K280" s="331"/>
      <c r="L280" s="331"/>
      <c r="M280" s="331"/>
      <c r="N280" s="331"/>
      <c r="O280" s="331"/>
      <c r="P280" s="331"/>
      <c r="Q280" s="331"/>
      <c r="R280" s="331"/>
      <c r="S280" s="331">
        <v>293</v>
      </c>
      <c r="T280" s="331">
        <v>150</v>
      </c>
      <c r="U280" s="331"/>
      <c r="V280" s="331"/>
      <c r="W280" s="331"/>
      <c r="X280" s="331"/>
      <c r="Y280" s="121"/>
    </row>
    <row r="281" spans="10:25" x14ac:dyDescent="0.2">
      <c r="J281" s="331"/>
      <c r="K281" s="331"/>
      <c r="L281" s="331"/>
      <c r="M281" s="331"/>
      <c r="N281" s="331"/>
      <c r="O281" s="331"/>
      <c r="P281" s="331"/>
      <c r="Q281" s="331"/>
      <c r="R281" s="331"/>
      <c r="S281" s="331">
        <v>294</v>
      </c>
      <c r="T281" s="331">
        <v>150</v>
      </c>
      <c r="U281" s="331"/>
      <c r="V281" s="331"/>
      <c r="W281" s="331"/>
      <c r="X281" s="331"/>
      <c r="Y281" s="121"/>
    </row>
    <row r="282" spans="10:25" x14ac:dyDescent="0.2">
      <c r="J282" s="331"/>
      <c r="K282" s="331"/>
      <c r="L282" s="331"/>
      <c r="M282" s="331"/>
      <c r="N282" s="331"/>
      <c r="O282" s="331"/>
      <c r="P282" s="331"/>
      <c r="Q282" s="331"/>
      <c r="R282" s="331"/>
      <c r="S282" s="331">
        <v>295</v>
      </c>
      <c r="T282" s="331">
        <v>150</v>
      </c>
      <c r="U282" s="331"/>
      <c r="V282" s="331"/>
      <c r="W282" s="331"/>
      <c r="X282" s="331"/>
      <c r="Y282" s="121"/>
    </row>
    <row r="283" spans="10:25" x14ac:dyDescent="0.2">
      <c r="J283" s="331"/>
      <c r="K283" s="331"/>
      <c r="L283" s="331"/>
      <c r="M283" s="331"/>
      <c r="N283" s="331"/>
      <c r="O283" s="331"/>
      <c r="P283" s="331"/>
      <c r="Q283" s="331"/>
      <c r="R283" s="331"/>
      <c r="S283" s="331">
        <v>296</v>
      </c>
      <c r="T283" s="331">
        <v>150</v>
      </c>
      <c r="U283" s="331"/>
      <c r="V283" s="331"/>
      <c r="W283" s="331"/>
      <c r="X283" s="331"/>
      <c r="Y283" s="121"/>
    </row>
    <row r="284" spans="10:25" x14ac:dyDescent="0.2">
      <c r="J284" s="331"/>
      <c r="K284" s="331"/>
      <c r="L284" s="331"/>
      <c r="M284" s="331"/>
      <c r="N284" s="331"/>
      <c r="O284" s="331"/>
      <c r="P284" s="331"/>
      <c r="Q284" s="331"/>
      <c r="R284" s="331"/>
      <c r="S284" s="331">
        <v>297</v>
      </c>
      <c r="T284" s="331">
        <v>150</v>
      </c>
      <c r="U284" s="331"/>
      <c r="V284" s="331"/>
      <c r="W284" s="331"/>
      <c r="X284" s="331"/>
      <c r="Y284" s="121"/>
    </row>
    <row r="285" spans="10:25" x14ac:dyDescent="0.2">
      <c r="J285" s="331"/>
      <c r="K285" s="331"/>
      <c r="L285" s="331"/>
      <c r="M285" s="331"/>
      <c r="N285" s="331"/>
      <c r="O285" s="331"/>
      <c r="P285" s="331"/>
      <c r="Q285" s="331"/>
      <c r="R285" s="331"/>
      <c r="S285" s="331">
        <v>298</v>
      </c>
      <c r="T285" s="331">
        <v>150</v>
      </c>
      <c r="U285" s="331"/>
      <c r="V285" s="331"/>
      <c r="W285" s="331"/>
      <c r="X285" s="331"/>
      <c r="Y285" s="121"/>
    </row>
    <row r="286" spans="10:25" x14ac:dyDescent="0.2">
      <c r="J286" s="331"/>
      <c r="K286" s="331"/>
      <c r="L286" s="331"/>
      <c r="M286" s="331"/>
      <c r="N286" s="331"/>
      <c r="O286" s="331"/>
      <c r="P286" s="331"/>
      <c r="Q286" s="331"/>
      <c r="R286" s="331"/>
      <c r="S286" s="331">
        <v>299</v>
      </c>
      <c r="T286" s="331">
        <v>150</v>
      </c>
      <c r="U286" s="331"/>
      <c r="V286" s="331"/>
      <c r="W286" s="331"/>
      <c r="X286" s="331"/>
      <c r="Y286" s="121"/>
    </row>
    <row r="287" spans="10:25" x14ac:dyDescent="0.2">
      <c r="J287" s="331"/>
      <c r="K287" s="331"/>
      <c r="L287" s="331"/>
      <c r="M287" s="331"/>
      <c r="N287" s="331"/>
      <c r="O287" s="331"/>
      <c r="P287" s="331"/>
      <c r="Q287" s="331"/>
      <c r="R287" s="331"/>
      <c r="S287" s="331">
        <v>300</v>
      </c>
      <c r="T287" s="331">
        <v>150</v>
      </c>
      <c r="U287" s="331">
        <v>300</v>
      </c>
      <c r="V287" s="331"/>
      <c r="W287" s="331"/>
      <c r="X287" s="331"/>
      <c r="Y287" s="121"/>
    </row>
    <row r="288" spans="10:25" x14ac:dyDescent="0.2">
      <c r="J288" s="331"/>
      <c r="K288" s="331"/>
      <c r="L288" s="331"/>
      <c r="M288" s="331"/>
      <c r="N288" s="331"/>
      <c r="O288" s="331"/>
      <c r="P288" s="331"/>
      <c r="Q288" s="331"/>
      <c r="R288" s="331"/>
      <c r="S288" s="331">
        <v>301</v>
      </c>
      <c r="T288" s="331">
        <v>150</v>
      </c>
      <c r="U288" s="331"/>
      <c r="V288" s="331"/>
      <c r="W288" s="331"/>
      <c r="X288" s="331"/>
      <c r="Y288" s="121"/>
    </row>
    <row r="289" spans="10:25" x14ac:dyDescent="0.2">
      <c r="J289" s="331"/>
      <c r="K289" s="331"/>
      <c r="L289" s="331"/>
      <c r="M289" s="331"/>
      <c r="N289" s="331"/>
      <c r="O289" s="331"/>
      <c r="P289" s="331"/>
      <c r="Q289" s="331"/>
      <c r="R289" s="331"/>
      <c r="S289" s="331">
        <v>302</v>
      </c>
      <c r="T289" s="331">
        <v>150</v>
      </c>
      <c r="U289" s="331"/>
      <c r="V289" s="331"/>
      <c r="W289" s="331"/>
      <c r="X289" s="331"/>
      <c r="Y289" s="121"/>
    </row>
    <row r="290" spans="10:25" x14ac:dyDescent="0.2">
      <c r="J290" s="331"/>
      <c r="K290" s="331"/>
      <c r="L290" s="331"/>
      <c r="M290" s="331"/>
      <c r="N290" s="331"/>
      <c r="O290" s="331"/>
      <c r="P290" s="331"/>
      <c r="Q290" s="331"/>
      <c r="R290" s="331"/>
      <c r="S290" s="331">
        <v>303</v>
      </c>
      <c r="T290" s="331">
        <v>150</v>
      </c>
      <c r="U290" s="331"/>
      <c r="V290" s="331"/>
      <c r="W290" s="331"/>
      <c r="X290" s="331"/>
      <c r="Y290" s="121"/>
    </row>
    <row r="291" spans="10:25" x14ac:dyDescent="0.2">
      <c r="J291" s="331"/>
      <c r="K291" s="331"/>
      <c r="L291" s="331"/>
      <c r="M291" s="331"/>
      <c r="N291" s="331"/>
      <c r="O291" s="331"/>
      <c r="P291" s="331"/>
      <c r="Q291" s="331"/>
      <c r="R291" s="331"/>
      <c r="S291" s="331">
        <v>304</v>
      </c>
      <c r="T291" s="331">
        <v>150</v>
      </c>
      <c r="U291" s="331"/>
      <c r="V291" s="331"/>
      <c r="W291" s="331"/>
      <c r="X291" s="331"/>
      <c r="Y291" s="121"/>
    </row>
    <row r="292" spans="10:25" x14ac:dyDescent="0.2">
      <c r="J292" s="331"/>
      <c r="K292" s="331"/>
      <c r="L292" s="331"/>
      <c r="M292" s="331"/>
      <c r="N292" s="331"/>
      <c r="O292" s="331"/>
      <c r="P292" s="331"/>
      <c r="Q292" s="331"/>
      <c r="R292" s="331"/>
      <c r="S292" s="331">
        <v>305</v>
      </c>
      <c r="T292" s="331">
        <v>150</v>
      </c>
      <c r="U292" s="331"/>
      <c r="V292" s="331"/>
      <c r="W292" s="331"/>
      <c r="X292" s="331"/>
      <c r="Y292" s="121"/>
    </row>
    <row r="293" spans="10:25" x14ac:dyDescent="0.2">
      <c r="J293" s="331"/>
      <c r="K293" s="331"/>
      <c r="L293" s="331"/>
      <c r="M293" s="331"/>
      <c r="N293" s="331"/>
      <c r="O293" s="331"/>
      <c r="P293" s="331"/>
      <c r="Q293" s="331"/>
      <c r="R293" s="331"/>
      <c r="S293" s="331">
        <v>306</v>
      </c>
      <c r="T293" s="331">
        <v>150</v>
      </c>
      <c r="U293" s="331"/>
      <c r="V293" s="331"/>
      <c r="W293" s="331"/>
      <c r="X293" s="331"/>
      <c r="Y293" s="121"/>
    </row>
    <row r="294" spans="10:25" x14ac:dyDescent="0.2">
      <c r="J294" s="331"/>
      <c r="K294" s="331"/>
      <c r="L294" s="331"/>
      <c r="M294" s="331"/>
      <c r="N294" s="331"/>
      <c r="O294" s="331"/>
      <c r="P294" s="331"/>
      <c r="Q294" s="331"/>
      <c r="R294" s="331"/>
      <c r="S294" s="331">
        <v>307</v>
      </c>
      <c r="T294" s="331">
        <v>150</v>
      </c>
      <c r="U294" s="331"/>
      <c r="V294" s="331"/>
      <c r="W294" s="331"/>
      <c r="X294" s="331"/>
      <c r="Y294" s="121"/>
    </row>
    <row r="295" spans="10:25" x14ac:dyDescent="0.2">
      <c r="J295" s="331"/>
      <c r="K295" s="331"/>
      <c r="L295" s="331"/>
      <c r="M295" s="331"/>
      <c r="N295" s="331"/>
      <c r="O295" s="331"/>
      <c r="P295" s="331"/>
      <c r="Q295" s="331"/>
      <c r="R295" s="331"/>
      <c r="S295" s="331">
        <v>308</v>
      </c>
      <c r="T295" s="331">
        <v>150</v>
      </c>
      <c r="U295" s="331"/>
      <c r="V295" s="331"/>
      <c r="W295" s="331"/>
      <c r="X295" s="331"/>
      <c r="Y295" s="121"/>
    </row>
    <row r="296" spans="10:25" x14ac:dyDescent="0.2">
      <c r="J296" s="331"/>
      <c r="K296" s="331"/>
      <c r="L296" s="331"/>
      <c r="M296" s="331"/>
      <c r="N296" s="331"/>
      <c r="O296" s="331"/>
      <c r="P296" s="331"/>
      <c r="Q296" s="331"/>
      <c r="R296" s="331"/>
      <c r="S296" s="331">
        <v>309</v>
      </c>
      <c r="T296" s="331">
        <v>150</v>
      </c>
      <c r="U296" s="331"/>
      <c r="V296" s="331"/>
      <c r="W296" s="331"/>
      <c r="X296" s="331"/>
      <c r="Y296" s="121"/>
    </row>
    <row r="297" spans="10:25" x14ac:dyDescent="0.2">
      <c r="J297" s="331"/>
      <c r="K297" s="331"/>
      <c r="L297" s="331"/>
      <c r="M297" s="331"/>
      <c r="N297" s="331"/>
      <c r="O297" s="331"/>
      <c r="P297" s="331"/>
      <c r="Q297" s="331"/>
      <c r="R297" s="331"/>
      <c r="S297" s="331">
        <v>310</v>
      </c>
      <c r="T297" s="331">
        <v>150</v>
      </c>
      <c r="U297" s="331"/>
      <c r="V297" s="331"/>
      <c r="W297" s="331"/>
      <c r="X297" s="331"/>
      <c r="Y297" s="121"/>
    </row>
    <row r="298" spans="10:25" x14ac:dyDescent="0.2">
      <c r="J298" s="331"/>
      <c r="K298" s="331"/>
      <c r="L298" s="331"/>
      <c r="M298" s="331"/>
      <c r="N298" s="331"/>
      <c r="O298" s="331"/>
      <c r="P298" s="331"/>
      <c r="Q298" s="331"/>
      <c r="R298" s="331"/>
      <c r="S298" s="331">
        <v>311</v>
      </c>
      <c r="T298" s="331">
        <v>150</v>
      </c>
      <c r="U298" s="331"/>
      <c r="V298" s="331"/>
      <c r="W298" s="331"/>
      <c r="X298" s="331"/>
      <c r="Y298" s="121"/>
    </row>
    <row r="299" spans="10:25" x14ac:dyDescent="0.2">
      <c r="J299" s="331"/>
      <c r="K299" s="331"/>
      <c r="L299" s="331"/>
      <c r="M299" s="331"/>
      <c r="N299" s="331"/>
      <c r="O299" s="331"/>
      <c r="P299" s="331"/>
      <c r="Q299" s="331"/>
      <c r="R299" s="331"/>
      <c r="S299" s="331">
        <v>312</v>
      </c>
      <c r="T299" s="331">
        <v>150</v>
      </c>
      <c r="U299" s="331"/>
      <c r="V299" s="331"/>
      <c r="W299" s="331"/>
      <c r="X299" s="331"/>
      <c r="Y299" s="121"/>
    </row>
    <row r="300" spans="10:25" x14ac:dyDescent="0.2">
      <c r="J300" s="331"/>
      <c r="K300" s="331"/>
      <c r="L300" s="331"/>
      <c r="M300" s="331"/>
      <c r="N300" s="331"/>
      <c r="O300" s="331"/>
      <c r="P300" s="331"/>
      <c r="Q300" s="331"/>
      <c r="R300" s="331"/>
      <c r="S300" s="331">
        <v>313</v>
      </c>
      <c r="T300" s="331">
        <v>150</v>
      </c>
      <c r="U300" s="331"/>
      <c r="V300" s="331"/>
      <c r="W300" s="331"/>
      <c r="X300" s="331"/>
      <c r="Y300" s="121"/>
    </row>
    <row r="301" spans="10:25" x14ac:dyDescent="0.2">
      <c r="J301" s="331"/>
      <c r="K301" s="331"/>
      <c r="L301" s="331"/>
      <c r="M301" s="331"/>
      <c r="N301" s="331"/>
      <c r="O301" s="331"/>
      <c r="P301" s="331"/>
      <c r="Q301" s="331"/>
      <c r="R301" s="331"/>
      <c r="S301" s="331">
        <v>314</v>
      </c>
      <c r="T301" s="331">
        <v>150</v>
      </c>
      <c r="U301" s="331"/>
      <c r="V301" s="331"/>
      <c r="W301" s="331"/>
      <c r="X301" s="331"/>
      <c r="Y301" s="121"/>
    </row>
    <row r="302" spans="10:25" x14ac:dyDescent="0.2">
      <c r="J302" s="331"/>
      <c r="K302" s="331"/>
      <c r="L302" s="331"/>
      <c r="M302" s="331"/>
      <c r="N302" s="331"/>
      <c r="O302" s="331"/>
      <c r="P302" s="331"/>
      <c r="Q302" s="331"/>
      <c r="R302" s="331"/>
      <c r="S302" s="331">
        <v>315</v>
      </c>
      <c r="T302" s="331">
        <v>150</v>
      </c>
      <c r="U302" s="331"/>
      <c r="V302" s="331"/>
      <c r="W302" s="331"/>
      <c r="X302" s="331"/>
      <c r="Y302" s="121"/>
    </row>
    <row r="303" spans="10:25" x14ac:dyDescent="0.2">
      <c r="J303" s="331"/>
      <c r="K303" s="331"/>
      <c r="L303" s="331"/>
      <c r="M303" s="331"/>
      <c r="N303" s="331"/>
      <c r="O303" s="331"/>
      <c r="P303" s="331"/>
      <c r="Q303" s="331"/>
      <c r="R303" s="331"/>
      <c r="S303" s="331">
        <v>316</v>
      </c>
      <c r="T303" s="331">
        <v>150</v>
      </c>
      <c r="U303" s="331"/>
      <c r="V303" s="331"/>
      <c r="W303" s="331"/>
      <c r="X303" s="331"/>
      <c r="Y303" s="121"/>
    </row>
    <row r="304" spans="10:25" x14ac:dyDescent="0.2">
      <c r="J304" s="331"/>
      <c r="K304" s="331"/>
      <c r="L304" s="331"/>
      <c r="M304" s="331"/>
      <c r="N304" s="331"/>
      <c r="O304" s="331"/>
      <c r="P304" s="331"/>
      <c r="Q304" s="331"/>
      <c r="R304" s="331"/>
      <c r="S304" s="331">
        <v>317</v>
      </c>
      <c r="T304" s="331">
        <v>150</v>
      </c>
      <c r="U304" s="331"/>
      <c r="V304" s="331"/>
      <c r="W304" s="331"/>
      <c r="X304" s="331"/>
      <c r="Y304" s="121"/>
    </row>
    <row r="305" spans="10:25" x14ac:dyDescent="0.2">
      <c r="J305" s="331"/>
      <c r="K305" s="331"/>
      <c r="L305" s="331"/>
      <c r="M305" s="331"/>
      <c r="N305" s="331"/>
      <c r="O305" s="331"/>
      <c r="P305" s="331"/>
      <c r="Q305" s="331"/>
      <c r="R305" s="331"/>
      <c r="S305" s="331">
        <v>318</v>
      </c>
      <c r="T305" s="331">
        <v>150</v>
      </c>
      <c r="U305" s="331"/>
      <c r="V305" s="331"/>
      <c r="W305" s="331"/>
      <c r="X305" s="331"/>
      <c r="Y305" s="121"/>
    </row>
    <row r="306" spans="10:25" x14ac:dyDescent="0.2">
      <c r="J306" s="331"/>
      <c r="K306" s="331"/>
      <c r="L306" s="331"/>
      <c r="M306" s="331"/>
      <c r="N306" s="331"/>
      <c r="O306" s="331"/>
      <c r="P306" s="331"/>
      <c r="Q306" s="331"/>
      <c r="R306" s="331"/>
      <c r="S306" s="331">
        <v>319</v>
      </c>
      <c r="T306" s="331">
        <v>150</v>
      </c>
      <c r="U306" s="331"/>
      <c r="V306" s="331"/>
      <c r="W306" s="331"/>
      <c r="X306" s="331"/>
      <c r="Y306" s="121"/>
    </row>
    <row r="307" spans="10:25" x14ac:dyDescent="0.2">
      <c r="J307" s="331"/>
      <c r="K307" s="331"/>
      <c r="L307" s="331"/>
      <c r="M307" s="331"/>
      <c r="N307" s="331"/>
      <c r="O307" s="331"/>
      <c r="P307" s="331"/>
      <c r="Q307" s="331"/>
      <c r="R307" s="331"/>
      <c r="S307" s="331">
        <v>320</v>
      </c>
      <c r="T307" s="331">
        <v>150</v>
      </c>
      <c r="U307" s="331"/>
      <c r="V307" s="331"/>
      <c r="W307" s="331"/>
      <c r="X307" s="331"/>
      <c r="Y307" s="121"/>
    </row>
    <row r="308" spans="10:25" x14ac:dyDescent="0.2">
      <c r="J308" s="331"/>
      <c r="K308" s="331"/>
      <c r="L308" s="331"/>
      <c r="M308" s="331"/>
      <c r="N308" s="331"/>
      <c r="O308" s="331"/>
      <c r="P308" s="331"/>
      <c r="Q308" s="331"/>
      <c r="R308" s="331"/>
      <c r="S308" s="331">
        <v>321</v>
      </c>
      <c r="T308" s="331">
        <v>150</v>
      </c>
      <c r="U308" s="331"/>
      <c r="V308" s="331"/>
      <c r="W308" s="331"/>
      <c r="X308" s="331"/>
      <c r="Y308" s="121"/>
    </row>
    <row r="309" spans="10:25" x14ac:dyDescent="0.2">
      <c r="J309" s="331"/>
      <c r="K309" s="331"/>
      <c r="L309" s="331"/>
      <c r="M309" s="331"/>
      <c r="N309" s="331"/>
      <c r="O309" s="331"/>
      <c r="P309" s="331"/>
      <c r="Q309" s="331"/>
      <c r="R309" s="331"/>
      <c r="S309" s="331">
        <v>322</v>
      </c>
      <c r="T309" s="331">
        <v>150</v>
      </c>
      <c r="U309" s="331"/>
      <c r="V309" s="331"/>
      <c r="W309" s="331"/>
      <c r="X309" s="331"/>
      <c r="Y309" s="121"/>
    </row>
    <row r="310" spans="10:25" x14ac:dyDescent="0.2">
      <c r="J310" s="331"/>
      <c r="K310" s="331"/>
      <c r="L310" s="331"/>
      <c r="M310" s="331"/>
      <c r="N310" s="331"/>
      <c r="O310" s="331"/>
      <c r="P310" s="331"/>
      <c r="Q310" s="331"/>
      <c r="R310" s="331"/>
      <c r="S310" s="331">
        <v>323</v>
      </c>
      <c r="T310" s="331">
        <v>150</v>
      </c>
      <c r="U310" s="331"/>
      <c r="V310" s="331"/>
      <c r="W310" s="331"/>
      <c r="X310" s="331"/>
      <c r="Y310" s="121"/>
    </row>
    <row r="311" spans="10:25" x14ac:dyDescent="0.2">
      <c r="J311" s="331"/>
      <c r="K311" s="331"/>
      <c r="L311" s="331"/>
      <c r="M311" s="331"/>
      <c r="N311" s="331"/>
      <c r="O311" s="331"/>
      <c r="P311" s="331"/>
      <c r="Q311" s="331"/>
      <c r="R311" s="331"/>
      <c r="S311" s="331">
        <v>324</v>
      </c>
      <c r="T311" s="331">
        <v>150</v>
      </c>
      <c r="U311" s="331"/>
      <c r="V311" s="331"/>
      <c r="W311" s="331"/>
      <c r="X311" s="331"/>
      <c r="Y311" s="121"/>
    </row>
    <row r="312" spans="10:25" x14ac:dyDescent="0.2">
      <c r="J312" s="331"/>
      <c r="K312" s="331"/>
      <c r="L312" s="331"/>
      <c r="M312" s="331"/>
      <c r="N312" s="331"/>
      <c r="O312" s="331"/>
      <c r="P312" s="331"/>
      <c r="Q312" s="331"/>
      <c r="R312" s="331"/>
      <c r="S312" s="331">
        <v>325</v>
      </c>
      <c r="T312" s="331">
        <v>150</v>
      </c>
      <c r="U312" s="331"/>
      <c r="V312" s="331"/>
      <c r="W312" s="331"/>
      <c r="X312" s="331"/>
      <c r="Y312" s="121"/>
    </row>
    <row r="313" spans="10:25" x14ac:dyDescent="0.2">
      <c r="J313" s="331"/>
      <c r="K313" s="331"/>
      <c r="L313" s="331"/>
      <c r="M313" s="331"/>
      <c r="N313" s="331"/>
      <c r="O313" s="331"/>
      <c r="P313" s="331"/>
      <c r="Q313" s="331"/>
      <c r="R313" s="331"/>
      <c r="S313" s="331">
        <v>326</v>
      </c>
      <c r="T313" s="331">
        <v>150</v>
      </c>
      <c r="U313" s="331"/>
      <c r="V313" s="331"/>
      <c r="W313" s="331"/>
      <c r="X313" s="331"/>
      <c r="Y313" s="121"/>
    </row>
    <row r="314" spans="10:25" x14ac:dyDescent="0.2">
      <c r="J314" s="331"/>
      <c r="K314" s="331"/>
      <c r="L314" s="331"/>
      <c r="M314" s="331"/>
      <c r="N314" s="331"/>
      <c r="O314" s="331"/>
      <c r="P314" s="331"/>
      <c r="Q314" s="331"/>
      <c r="R314" s="331"/>
      <c r="S314" s="331">
        <v>327</v>
      </c>
      <c r="T314" s="331">
        <v>150</v>
      </c>
      <c r="U314" s="331"/>
      <c r="V314" s="331"/>
      <c r="W314" s="331"/>
      <c r="X314" s="331"/>
      <c r="Y314" s="121"/>
    </row>
    <row r="315" spans="10:25" x14ac:dyDescent="0.2">
      <c r="J315" s="331"/>
      <c r="K315" s="331"/>
      <c r="L315" s="331"/>
      <c r="M315" s="331"/>
      <c r="N315" s="331"/>
      <c r="O315" s="331"/>
      <c r="P315" s="331"/>
      <c r="Q315" s="331"/>
      <c r="R315" s="331"/>
      <c r="S315" s="331">
        <v>328</v>
      </c>
      <c r="T315" s="331">
        <v>150</v>
      </c>
      <c r="U315" s="331"/>
      <c r="V315" s="331"/>
      <c r="W315" s="331"/>
      <c r="X315" s="331"/>
      <c r="Y315" s="121"/>
    </row>
    <row r="316" spans="10:25" x14ac:dyDescent="0.2">
      <c r="J316" s="331"/>
      <c r="K316" s="331"/>
      <c r="L316" s="331"/>
      <c r="M316" s="331"/>
      <c r="N316" s="331"/>
      <c r="O316" s="331"/>
      <c r="P316" s="331"/>
      <c r="Q316" s="331"/>
      <c r="R316" s="331"/>
      <c r="S316" s="331">
        <v>329</v>
      </c>
      <c r="T316" s="331">
        <v>150</v>
      </c>
      <c r="U316" s="331"/>
      <c r="V316" s="331"/>
      <c r="W316" s="331"/>
      <c r="X316" s="331"/>
      <c r="Y316" s="121"/>
    </row>
    <row r="317" spans="10:25" x14ac:dyDescent="0.2">
      <c r="J317" s="331"/>
      <c r="K317" s="331"/>
      <c r="L317" s="331"/>
      <c r="M317" s="331"/>
      <c r="N317" s="331"/>
      <c r="O317" s="331"/>
      <c r="P317" s="331"/>
      <c r="Q317" s="331"/>
      <c r="R317" s="331"/>
      <c r="S317" s="331">
        <v>330</v>
      </c>
      <c r="T317" s="331">
        <v>150</v>
      </c>
      <c r="U317" s="331"/>
      <c r="V317" s="331"/>
      <c r="W317" s="331"/>
      <c r="X317" s="331"/>
      <c r="Y317" s="121"/>
    </row>
    <row r="318" spans="10:25" x14ac:dyDescent="0.2">
      <c r="J318" s="331"/>
      <c r="K318" s="331"/>
      <c r="L318" s="331"/>
      <c r="M318" s="331"/>
      <c r="N318" s="331"/>
      <c r="O318" s="331"/>
      <c r="P318" s="331"/>
      <c r="Q318" s="331"/>
      <c r="R318" s="331"/>
      <c r="S318" s="331">
        <v>331</v>
      </c>
      <c r="T318" s="331">
        <v>150</v>
      </c>
      <c r="U318" s="331"/>
      <c r="V318" s="331"/>
      <c r="W318" s="331"/>
      <c r="X318" s="331"/>
      <c r="Y318" s="121"/>
    </row>
    <row r="319" spans="10:25" x14ac:dyDescent="0.2">
      <c r="J319" s="331"/>
      <c r="K319" s="331"/>
      <c r="L319" s="331"/>
      <c r="M319" s="331"/>
      <c r="N319" s="331"/>
      <c r="O319" s="331"/>
      <c r="P319" s="331"/>
      <c r="Q319" s="331"/>
      <c r="R319" s="331"/>
      <c r="S319" s="331">
        <v>332</v>
      </c>
      <c r="T319" s="331">
        <v>150</v>
      </c>
      <c r="U319" s="331"/>
      <c r="V319" s="331"/>
      <c r="W319" s="331"/>
      <c r="X319" s="331"/>
      <c r="Y319" s="121"/>
    </row>
    <row r="320" spans="10:25" x14ac:dyDescent="0.2">
      <c r="J320" s="331"/>
      <c r="K320" s="331"/>
      <c r="L320" s="331"/>
      <c r="M320" s="331"/>
      <c r="N320" s="331"/>
      <c r="O320" s="331"/>
      <c r="P320" s="331"/>
      <c r="Q320" s="331"/>
      <c r="R320" s="331"/>
      <c r="S320" s="331">
        <v>333</v>
      </c>
      <c r="T320" s="331">
        <v>150</v>
      </c>
      <c r="U320" s="331"/>
      <c r="V320" s="331"/>
      <c r="W320" s="331"/>
      <c r="X320" s="331"/>
      <c r="Y320" s="121"/>
    </row>
    <row r="321" spans="10:25" x14ac:dyDescent="0.2">
      <c r="J321" s="331"/>
      <c r="K321" s="331"/>
      <c r="L321" s="331"/>
      <c r="M321" s="331"/>
      <c r="N321" s="331"/>
      <c r="O321" s="331"/>
      <c r="P321" s="331"/>
      <c r="Q321" s="331"/>
      <c r="R321" s="331"/>
      <c r="S321" s="331">
        <v>334</v>
      </c>
      <c r="T321" s="331">
        <v>150</v>
      </c>
      <c r="U321" s="331"/>
      <c r="V321" s="331"/>
      <c r="W321" s="331"/>
      <c r="X321" s="331"/>
      <c r="Y321" s="121"/>
    </row>
    <row r="322" spans="10:25" x14ac:dyDescent="0.2">
      <c r="J322" s="331"/>
      <c r="K322" s="331"/>
      <c r="L322" s="331"/>
      <c r="M322" s="331"/>
      <c r="N322" s="331"/>
      <c r="O322" s="331"/>
      <c r="P322" s="331"/>
      <c r="Q322" s="331"/>
      <c r="R322" s="331"/>
      <c r="S322" s="331">
        <v>335</v>
      </c>
      <c r="T322" s="331">
        <v>150</v>
      </c>
      <c r="U322" s="331"/>
      <c r="V322" s="331"/>
      <c r="W322" s="331"/>
      <c r="X322" s="331"/>
      <c r="Y322" s="121"/>
    </row>
    <row r="323" spans="10:25" x14ac:dyDescent="0.2">
      <c r="J323" s="331"/>
      <c r="K323" s="331"/>
      <c r="L323" s="331"/>
      <c r="M323" s="331"/>
      <c r="N323" s="331"/>
      <c r="O323" s="331"/>
      <c r="P323" s="331"/>
      <c r="Q323" s="331"/>
      <c r="R323" s="331"/>
      <c r="S323" s="331">
        <v>336</v>
      </c>
      <c r="T323" s="331">
        <v>150</v>
      </c>
      <c r="U323" s="331"/>
      <c r="V323" s="331"/>
      <c r="W323" s="331"/>
      <c r="X323" s="331"/>
      <c r="Y323" s="121"/>
    </row>
    <row r="324" spans="10:25" x14ac:dyDescent="0.2">
      <c r="J324" s="331"/>
      <c r="K324" s="331"/>
      <c r="L324" s="331"/>
      <c r="M324" s="331"/>
      <c r="N324" s="331"/>
      <c r="O324" s="331"/>
      <c r="P324" s="331"/>
      <c r="Q324" s="331"/>
      <c r="R324" s="331"/>
      <c r="S324" s="331">
        <v>337</v>
      </c>
      <c r="T324" s="331">
        <v>150</v>
      </c>
      <c r="U324" s="331"/>
      <c r="V324" s="331"/>
      <c r="W324" s="331"/>
      <c r="X324" s="331"/>
      <c r="Y324" s="121"/>
    </row>
    <row r="325" spans="10:25" x14ac:dyDescent="0.2">
      <c r="J325" s="331"/>
      <c r="K325" s="331"/>
      <c r="L325" s="331"/>
      <c r="M325" s="331"/>
      <c r="N325" s="331"/>
      <c r="O325" s="331"/>
      <c r="P325" s="331"/>
      <c r="Q325" s="331"/>
      <c r="R325" s="331"/>
      <c r="S325" s="331">
        <v>338</v>
      </c>
      <c r="T325" s="331">
        <v>150</v>
      </c>
      <c r="U325" s="331"/>
      <c r="V325" s="331"/>
      <c r="W325" s="331"/>
      <c r="X325" s="331"/>
      <c r="Y325" s="121"/>
    </row>
    <row r="326" spans="10:25" x14ac:dyDescent="0.2">
      <c r="J326" s="331"/>
      <c r="K326" s="331"/>
      <c r="L326" s="331"/>
      <c r="M326" s="331"/>
      <c r="N326" s="331"/>
      <c r="O326" s="331"/>
      <c r="P326" s="331"/>
      <c r="Q326" s="331"/>
      <c r="R326" s="331"/>
      <c r="S326" s="331">
        <v>339</v>
      </c>
      <c r="T326" s="331">
        <v>150</v>
      </c>
      <c r="U326" s="331"/>
      <c r="V326" s="331"/>
      <c r="W326" s="331"/>
      <c r="X326" s="331"/>
      <c r="Y326" s="121"/>
    </row>
    <row r="327" spans="10:25" x14ac:dyDescent="0.2">
      <c r="J327" s="331"/>
      <c r="K327" s="331"/>
      <c r="L327" s="331"/>
      <c r="M327" s="331"/>
      <c r="N327" s="331"/>
      <c r="O327" s="331"/>
      <c r="P327" s="331"/>
      <c r="Q327" s="331"/>
      <c r="R327" s="331"/>
      <c r="S327" s="331">
        <v>340</v>
      </c>
      <c r="T327" s="331">
        <v>150</v>
      </c>
      <c r="U327" s="331"/>
      <c r="V327" s="331"/>
      <c r="W327" s="331"/>
      <c r="X327" s="331"/>
      <c r="Y327" s="121"/>
    </row>
    <row r="328" spans="10:25" x14ac:dyDescent="0.2">
      <c r="J328" s="331"/>
      <c r="K328" s="331"/>
      <c r="L328" s="331"/>
      <c r="M328" s="331"/>
      <c r="N328" s="331"/>
      <c r="O328" s="331"/>
      <c r="P328" s="331"/>
      <c r="Q328" s="331"/>
      <c r="R328" s="331"/>
      <c r="S328" s="331">
        <v>341</v>
      </c>
      <c r="T328" s="331">
        <v>150</v>
      </c>
      <c r="U328" s="331"/>
      <c r="V328" s="331"/>
      <c r="W328" s="331"/>
      <c r="X328" s="331"/>
      <c r="Y328" s="121"/>
    </row>
    <row r="329" spans="10:25" x14ac:dyDescent="0.2">
      <c r="J329" s="331"/>
      <c r="K329" s="331"/>
      <c r="L329" s="331"/>
      <c r="M329" s="331"/>
      <c r="N329" s="331"/>
      <c r="O329" s="331"/>
      <c r="P329" s="331"/>
      <c r="Q329" s="331"/>
      <c r="R329" s="331"/>
      <c r="S329" s="331">
        <v>342</v>
      </c>
      <c r="T329" s="331">
        <v>150</v>
      </c>
      <c r="U329" s="331"/>
      <c r="V329" s="331"/>
      <c r="W329" s="331"/>
      <c r="X329" s="331"/>
      <c r="Y329" s="121"/>
    </row>
    <row r="330" spans="10:25" x14ac:dyDescent="0.2">
      <c r="J330" s="331"/>
      <c r="K330" s="331"/>
      <c r="L330" s="331"/>
      <c r="M330" s="331"/>
      <c r="N330" s="331"/>
      <c r="O330" s="331"/>
      <c r="P330" s="331"/>
      <c r="Q330" s="331"/>
      <c r="R330" s="331"/>
      <c r="S330" s="331">
        <v>343</v>
      </c>
      <c r="T330" s="331">
        <v>150</v>
      </c>
      <c r="U330" s="331"/>
      <c r="V330" s="331"/>
      <c r="W330" s="331"/>
      <c r="X330" s="331"/>
      <c r="Y330" s="121"/>
    </row>
    <row r="331" spans="10:25" x14ac:dyDescent="0.2">
      <c r="J331" s="331"/>
      <c r="K331" s="331"/>
      <c r="L331" s="331"/>
      <c r="M331" s="331"/>
      <c r="N331" s="331"/>
      <c r="O331" s="331"/>
      <c r="P331" s="331"/>
      <c r="Q331" s="331"/>
      <c r="R331" s="331"/>
      <c r="S331" s="331">
        <v>344</v>
      </c>
      <c r="T331" s="331">
        <v>150</v>
      </c>
      <c r="U331" s="331"/>
      <c r="V331" s="331"/>
      <c r="W331" s="331"/>
      <c r="X331" s="331"/>
      <c r="Y331" s="121"/>
    </row>
    <row r="332" spans="10:25" x14ac:dyDescent="0.2">
      <c r="J332" s="331"/>
      <c r="K332" s="331"/>
      <c r="L332" s="331"/>
      <c r="M332" s="331"/>
      <c r="N332" s="331"/>
      <c r="O332" s="331"/>
      <c r="P332" s="331"/>
      <c r="Q332" s="331"/>
      <c r="R332" s="331"/>
      <c r="S332" s="331">
        <v>345</v>
      </c>
      <c r="T332" s="331">
        <v>150</v>
      </c>
      <c r="U332" s="331"/>
      <c r="V332" s="331"/>
      <c r="W332" s="331"/>
      <c r="X332" s="331"/>
      <c r="Y332" s="121"/>
    </row>
    <row r="333" spans="10:25" x14ac:dyDescent="0.2">
      <c r="J333" s="331"/>
      <c r="K333" s="331"/>
      <c r="L333" s="331"/>
      <c r="M333" s="331"/>
      <c r="N333" s="331"/>
      <c r="O333" s="331"/>
      <c r="P333" s="331"/>
      <c r="Q333" s="331"/>
      <c r="R333" s="331"/>
      <c r="S333" s="331">
        <v>346</v>
      </c>
      <c r="T333" s="331">
        <v>150</v>
      </c>
      <c r="U333" s="331"/>
      <c r="V333" s="331"/>
      <c r="W333" s="331"/>
      <c r="X333" s="331"/>
      <c r="Y333" s="121"/>
    </row>
    <row r="334" spans="10:25" x14ac:dyDescent="0.2">
      <c r="J334" s="331"/>
      <c r="K334" s="331"/>
      <c r="L334" s="331"/>
      <c r="M334" s="331"/>
      <c r="N334" s="331"/>
      <c r="O334" s="331"/>
      <c r="P334" s="331"/>
      <c r="Q334" s="331"/>
      <c r="R334" s="331"/>
      <c r="S334" s="331">
        <v>347</v>
      </c>
      <c r="T334" s="331">
        <v>150</v>
      </c>
      <c r="U334" s="331"/>
      <c r="V334" s="331"/>
      <c r="W334" s="331"/>
      <c r="X334" s="331"/>
      <c r="Y334" s="121"/>
    </row>
    <row r="335" spans="10:25" x14ac:dyDescent="0.2">
      <c r="J335" s="331"/>
      <c r="K335" s="331"/>
      <c r="L335" s="331"/>
      <c r="M335" s="331"/>
      <c r="N335" s="331"/>
      <c r="O335" s="331"/>
      <c r="P335" s="331"/>
      <c r="Q335" s="331"/>
      <c r="R335" s="331"/>
      <c r="S335" s="331">
        <v>348</v>
      </c>
      <c r="T335" s="331">
        <v>150</v>
      </c>
      <c r="U335" s="331"/>
      <c r="V335" s="331"/>
      <c r="W335" s="331"/>
      <c r="X335" s="331"/>
      <c r="Y335" s="121"/>
    </row>
    <row r="336" spans="10:25" x14ac:dyDescent="0.2">
      <c r="J336" s="331"/>
      <c r="K336" s="331"/>
      <c r="L336" s="331"/>
      <c r="M336" s="331"/>
      <c r="N336" s="331"/>
      <c r="O336" s="331"/>
      <c r="P336" s="331"/>
      <c r="Q336" s="331"/>
      <c r="R336" s="331"/>
      <c r="S336" s="331">
        <v>349</v>
      </c>
      <c r="T336" s="331">
        <v>150</v>
      </c>
      <c r="U336" s="331"/>
      <c r="V336" s="331"/>
      <c r="W336" s="331"/>
      <c r="X336" s="331"/>
      <c r="Y336" s="121"/>
    </row>
    <row r="337" spans="10:25" x14ac:dyDescent="0.2">
      <c r="J337" s="331"/>
      <c r="K337" s="331"/>
      <c r="L337" s="331"/>
      <c r="M337" s="331"/>
      <c r="N337" s="331"/>
      <c r="O337" s="331"/>
      <c r="P337" s="331"/>
      <c r="Q337" s="331"/>
      <c r="R337" s="331"/>
      <c r="S337" s="331">
        <v>350</v>
      </c>
      <c r="T337" s="331">
        <v>150</v>
      </c>
      <c r="U337" s="331"/>
      <c r="V337" s="331"/>
      <c r="W337" s="331"/>
      <c r="X337" s="331"/>
      <c r="Y337" s="121"/>
    </row>
    <row r="338" spans="10:25" x14ac:dyDescent="0.2">
      <c r="J338" s="331"/>
      <c r="K338" s="331"/>
      <c r="L338" s="331"/>
      <c r="M338" s="331"/>
      <c r="N338" s="331"/>
      <c r="O338" s="331"/>
      <c r="P338" s="331"/>
      <c r="Q338" s="331"/>
      <c r="R338" s="331"/>
      <c r="S338" s="331">
        <v>351</v>
      </c>
      <c r="T338" s="331">
        <v>150</v>
      </c>
      <c r="U338" s="331"/>
      <c r="V338" s="331"/>
      <c r="W338" s="331"/>
      <c r="X338" s="331"/>
      <c r="Y338" s="121"/>
    </row>
    <row r="339" spans="10:25" x14ac:dyDescent="0.2">
      <c r="J339" s="331"/>
      <c r="K339" s="331"/>
      <c r="L339" s="331"/>
      <c r="M339" s="331"/>
      <c r="N339" s="331"/>
      <c r="O339" s="331"/>
      <c r="P339" s="331"/>
      <c r="Q339" s="331"/>
      <c r="R339" s="331"/>
      <c r="S339" s="331">
        <v>352</v>
      </c>
      <c r="T339" s="331">
        <v>150</v>
      </c>
      <c r="U339" s="331"/>
      <c r="V339" s="331"/>
      <c r="W339" s="331"/>
      <c r="X339" s="331"/>
      <c r="Y339" s="121"/>
    </row>
    <row r="340" spans="10:25" x14ac:dyDescent="0.2">
      <c r="J340" s="331"/>
      <c r="K340" s="331"/>
      <c r="L340" s="331"/>
      <c r="M340" s="331"/>
      <c r="N340" s="331"/>
      <c r="O340" s="331"/>
      <c r="P340" s="331"/>
      <c r="Q340" s="331"/>
      <c r="R340" s="331"/>
      <c r="S340" s="331">
        <v>353</v>
      </c>
      <c r="T340" s="331">
        <v>150</v>
      </c>
      <c r="U340" s="331"/>
      <c r="V340" s="331"/>
      <c r="W340" s="331"/>
      <c r="X340" s="331"/>
      <c r="Y340" s="121"/>
    </row>
    <row r="341" spans="10:25" x14ac:dyDescent="0.2">
      <c r="J341" s="331"/>
      <c r="K341" s="331"/>
      <c r="L341" s="331"/>
      <c r="M341" s="331"/>
      <c r="N341" s="331"/>
      <c r="O341" s="331"/>
      <c r="P341" s="331"/>
      <c r="Q341" s="331"/>
      <c r="R341" s="331"/>
      <c r="S341" s="331">
        <v>354</v>
      </c>
      <c r="T341" s="331">
        <v>150</v>
      </c>
      <c r="U341" s="331"/>
      <c r="V341" s="331"/>
      <c r="W341" s="331"/>
      <c r="X341" s="331"/>
      <c r="Y341" s="121"/>
    </row>
    <row r="342" spans="10:25" x14ac:dyDescent="0.2">
      <c r="J342" s="331"/>
      <c r="K342" s="331"/>
      <c r="L342" s="331"/>
      <c r="M342" s="331"/>
      <c r="N342" s="331"/>
      <c r="O342" s="331"/>
      <c r="P342" s="331"/>
      <c r="Q342" s="331"/>
      <c r="R342" s="331"/>
      <c r="S342" s="331">
        <v>355</v>
      </c>
      <c r="T342" s="331">
        <v>150</v>
      </c>
      <c r="U342" s="331"/>
      <c r="V342" s="331"/>
      <c r="W342" s="331"/>
      <c r="X342" s="331"/>
      <c r="Y342" s="121"/>
    </row>
    <row r="343" spans="10:25" x14ac:dyDescent="0.2">
      <c r="J343" s="331"/>
      <c r="K343" s="331"/>
      <c r="L343" s="331"/>
      <c r="M343" s="331"/>
      <c r="N343" s="331"/>
      <c r="O343" s="331"/>
      <c r="P343" s="331"/>
      <c r="Q343" s="331"/>
      <c r="R343" s="331"/>
      <c r="S343" s="331">
        <v>356</v>
      </c>
      <c r="T343" s="331">
        <v>150</v>
      </c>
      <c r="U343" s="331"/>
      <c r="V343" s="331"/>
      <c r="W343" s="331"/>
      <c r="X343" s="331"/>
      <c r="Y343" s="121"/>
    </row>
    <row r="344" spans="10:25" x14ac:dyDescent="0.2">
      <c r="J344" s="331"/>
      <c r="K344" s="331"/>
      <c r="L344" s="331"/>
      <c r="M344" s="331"/>
      <c r="N344" s="331"/>
      <c r="O344" s="331"/>
      <c r="P344" s="331"/>
      <c r="Q344" s="331"/>
      <c r="R344" s="331"/>
      <c r="S344" s="331">
        <v>357</v>
      </c>
      <c r="T344" s="331">
        <v>150</v>
      </c>
      <c r="U344" s="331"/>
      <c r="V344" s="331"/>
      <c r="W344" s="331"/>
      <c r="X344" s="331"/>
      <c r="Y344" s="121"/>
    </row>
    <row r="345" spans="10:25" x14ac:dyDescent="0.2">
      <c r="J345" s="331"/>
      <c r="K345" s="331"/>
      <c r="L345" s="331"/>
      <c r="M345" s="331"/>
      <c r="N345" s="331"/>
      <c r="O345" s="331"/>
      <c r="P345" s="331"/>
      <c r="Q345" s="331"/>
      <c r="R345" s="331"/>
      <c r="S345" s="331">
        <v>358</v>
      </c>
      <c r="T345" s="331">
        <v>150</v>
      </c>
      <c r="U345" s="331"/>
      <c r="V345" s="331"/>
      <c r="W345" s="331"/>
      <c r="X345" s="331"/>
      <c r="Y345" s="121"/>
    </row>
    <row r="346" spans="10:25" x14ac:dyDescent="0.2">
      <c r="J346" s="331"/>
      <c r="K346" s="331"/>
      <c r="L346" s="331"/>
      <c r="M346" s="331"/>
      <c r="N346" s="331"/>
      <c r="O346" s="331"/>
      <c r="P346" s="331"/>
      <c r="Q346" s="331"/>
      <c r="R346" s="331"/>
      <c r="S346" s="331">
        <v>359</v>
      </c>
      <c r="T346" s="331">
        <v>150</v>
      </c>
      <c r="U346" s="331"/>
      <c r="V346" s="331"/>
      <c r="W346" s="331"/>
      <c r="X346" s="331"/>
      <c r="Y346" s="121"/>
    </row>
    <row r="347" spans="10:25" x14ac:dyDescent="0.2">
      <c r="J347" s="331"/>
      <c r="K347" s="331"/>
      <c r="L347" s="331"/>
      <c r="M347" s="331"/>
      <c r="N347" s="331"/>
      <c r="O347" s="331"/>
      <c r="P347" s="331"/>
      <c r="Q347" s="331"/>
      <c r="R347" s="331"/>
      <c r="S347" s="331">
        <v>360</v>
      </c>
      <c r="T347" s="331">
        <v>150</v>
      </c>
      <c r="U347" s="331">
        <v>360</v>
      </c>
      <c r="V347" s="331"/>
      <c r="W347" s="331"/>
      <c r="X347" s="331"/>
      <c r="Y347" s="121"/>
    </row>
    <row r="348" spans="10:25" x14ac:dyDescent="0.2">
      <c r="J348" s="331"/>
      <c r="K348" s="331"/>
      <c r="L348" s="331"/>
      <c r="M348" s="331"/>
      <c r="N348" s="331"/>
      <c r="O348" s="331"/>
      <c r="P348" s="331"/>
      <c r="Q348" s="331"/>
      <c r="R348" s="331"/>
      <c r="S348" s="331"/>
      <c r="T348" s="331"/>
      <c r="U348" s="331"/>
      <c r="V348" s="331"/>
      <c r="W348" s="331"/>
      <c r="X348" s="331"/>
      <c r="Y348" s="121"/>
    </row>
    <row r="349" spans="10:25" x14ac:dyDescent="0.2">
      <c r="J349" s="331"/>
      <c r="K349" s="331"/>
      <c r="L349" s="331"/>
      <c r="M349" s="331"/>
      <c r="N349" s="331"/>
      <c r="O349" s="331"/>
      <c r="P349" s="331"/>
      <c r="Q349" s="331"/>
      <c r="R349" s="331"/>
      <c r="S349" s="331"/>
      <c r="T349" s="331"/>
      <c r="U349" s="331"/>
      <c r="V349" s="331"/>
      <c r="W349" s="331"/>
      <c r="X349" s="331"/>
      <c r="Y349" s="121"/>
    </row>
    <row r="350" spans="10:25" x14ac:dyDescent="0.2">
      <c r="J350" s="331"/>
      <c r="K350" s="331"/>
      <c r="L350" s="331"/>
      <c r="M350" s="331"/>
      <c r="N350" s="331"/>
      <c r="O350" s="331"/>
      <c r="P350" s="331"/>
      <c r="Q350" s="331"/>
      <c r="R350" s="331"/>
      <c r="S350" s="331"/>
      <c r="T350" s="331"/>
      <c r="U350" s="331"/>
      <c r="V350" s="331"/>
      <c r="W350" s="331"/>
      <c r="X350" s="331"/>
      <c r="Y350" s="121"/>
    </row>
    <row r="351" spans="10:25" x14ac:dyDescent="0.2">
      <c r="J351" s="331"/>
      <c r="K351" s="331"/>
      <c r="L351" s="331"/>
      <c r="M351" s="331"/>
      <c r="N351" s="331"/>
      <c r="O351" s="331"/>
      <c r="P351" s="331"/>
      <c r="Q351" s="331"/>
      <c r="R351" s="331"/>
      <c r="S351" s="331"/>
      <c r="T351" s="331"/>
      <c r="U351" s="331"/>
      <c r="V351" s="331"/>
      <c r="W351" s="331"/>
      <c r="X351" s="331"/>
      <c r="Y351" s="121"/>
    </row>
    <row r="352" spans="10:25" x14ac:dyDescent="0.2">
      <c r="J352" s="331"/>
      <c r="K352" s="331"/>
      <c r="L352" s="331"/>
      <c r="M352" s="331"/>
      <c r="N352" s="331"/>
      <c r="O352" s="331"/>
      <c r="P352" s="331"/>
      <c r="Q352" s="331"/>
      <c r="R352" s="331"/>
      <c r="S352" s="331"/>
      <c r="T352" s="331"/>
      <c r="U352" s="331"/>
      <c r="V352" s="331"/>
      <c r="W352" s="331"/>
      <c r="X352" s="331"/>
      <c r="Y352" s="121"/>
    </row>
    <row r="353" spans="10:25" x14ac:dyDescent="0.2">
      <c r="J353" s="331"/>
      <c r="K353" s="331"/>
      <c r="L353" s="331"/>
      <c r="M353" s="331"/>
      <c r="N353" s="331"/>
      <c r="O353" s="331"/>
      <c r="P353" s="331"/>
      <c r="Q353" s="331"/>
      <c r="R353" s="331"/>
      <c r="S353" s="331"/>
      <c r="T353" s="331"/>
      <c r="U353" s="331"/>
      <c r="V353" s="331"/>
      <c r="W353" s="331"/>
      <c r="X353" s="331"/>
      <c r="Y353" s="121"/>
    </row>
    <row r="354" spans="10:25" x14ac:dyDescent="0.2">
      <c r="J354" s="331"/>
      <c r="K354" s="331"/>
      <c r="L354" s="331"/>
      <c r="M354" s="331"/>
      <c r="N354" s="331"/>
      <c r="O354" s="331"/>
      <c r="P354" s="331"/>
      <c r="Q354" s="331"/>
      <c r="R354" s="331"/>
      <c r="S354" s="331"/>
      <c r="T354" s="331"/>
      <c r="U354" s="331"/>
      <c r="V354" s="331"/>
      <c r="W354" s="331"/>
      <c r="X354" s="331"/>
      <c r="Y354" s="121"/>
    </row>
    <row r="355" spans="10:25" x14ac:dyDescent="0.2">
      <c r="J355" s="331"/>
      <c r="K355" s="331"/>
      <c r="L355" s="331"/>
      <c r="M355" s="331"/>
      <c r="N355" s="331"/>
      <c r="O355" s="331"/>
      <c r="P355" s="331"/>
      <c r="Q355" s="331"/>
      <c r="R355" s="331"/>
      <c r="S355" s="331"/>
      <c r="T355" s="331"/>
      <c r="U355" s="331"/>
      <c r="V355" s="331"/>
      <c r="W355" s="331"/>
      <c r="X355" s="331"/>
      <c r="Y355" s="121"/>
    </row>
    <row r="356" spans="10:25" x14ac:dyDescent="0.2">
      <c r="J356" s="331"/>
      <c r="K356" s="331"/>
      <c r="L356" s="331"/>
      <c r="M356" s="331"/>
      <c r="N356" s="331"/>
      <c r="O356" s="331"/>
      <c r="P356" s="331"/>
      <c r="Q356" s="331"/>
      <c r="R356" s="331"/>
      <c r="S356" s="331"/>
      <c r="T356" s="331"/>
      <c r="U356" s="331"/>
      <c r="V356" s="331"/>
      <c r="W356" s="331"/>
      <c r="X356" s="331"/>
      <c r="Y356" s="121"/>
    </row>
    <row r="357" spans="10:25" x14ac:dyDescent="0.2">
      <c r="J357" s="331"/>
      <c r="K357" s="331"/>
      <c r="L357" s="331"/>
      <c r="M357" s="331"/>
      <c r="N357" s="331"/>
      <c r="O357" s="331"/>
      <c r="P357" s="331"/>
      <c r="Q357" s="331"/>
      <c r="R357" s="331"/>
      <c r="S357" s="331"/>
      <c r="T357" s="331"/>
      <c r="U357" s="331"/>
      <c r="V357" s="331"/>
      <c r="W357" s="331"/>
      <c r="X357" s="331"/>
      <c r="Y357" s="121"/>
    </row>
    <row r="358" spans="10:25" x14ac:dyDescent="0.2">
      <c r="J358" s="331"/>
      <c r="K358" s="331"/>
      <c r="L358" s="331"/>
      <c r="M358" s="331"/>
      <c r="N358" s="331"/>
      <c r="O358" s="331"/>
      <c r="P358" s="331"/>
      <c r="Q358" s="331"/>
      <c r="R358" s="331"/>
      <c r="S358" s="331"/>
      <c r="T358" s="331"/>
      <c r="U358" s="331"/>
      <c r="V358" s="331"/>
      <c r="W358" s="331"/>
      <c r="X358" s="331"/>
      <c r="Y358" s="121"/>
    </row>
    <row r="359" spans="10:25" x14ac:dyDescent="0.2">
      <c r="J359" s="331"/>
      <c r="K359" s="331"/>
      <c r="L359" s="331"/>
      <c r="M359" s="331"/>
      <c r="N359" s="331"/>
      <c r="O359" s="331"/>
      <c r="P359" s="331"/>
      <c r="Q359" s="331"/>
      <c r="R359" s="331"/>
      <c r="S359" s="331"/>
      <c r="T359" s="331"/>
      <c r="U359" s="331"/>
      <c r="V359" s="331"/>
      <c r="W359" s="331"/>
      <c r="X359" s="331"/>
      <c r="Y359" s="121"/>
    </row>
    <row r="360" spans="10:25" x14ac:dyDescent="0.2">
      <c r="J360" s="331"/>
      <c r="K360" s="331"/>
      <c r="L360" s="331"/>
      <c r="M360" s="331"/>
      <c r="N360" s="331"/>
      <c r="O360" s="331"/>
      <c r="P360" s="331"/>
      <c r="Q360" s="331"/>
      <c r="R360" s="331"/>
      <c r="S360" s="331"/>
      <c r="T360" s="331"/>
      <c r="U360" s="331"/>
      <c r="V360" s="331"/>
      <c r="W360" s="331"/>
      <c r="X360" s="331"/>
      <c r="Y360" s="121"/>
    </row>
    <row r="361" spans="10:25" x14ac:dyDescent="0.2">
      <c r="J361" s="331"/>
      <c r="K361" s="331"/>
      <c r="L361" s="331"/>
      <c r="M361" s="331"/>
      <c r="N361" s="331"/>
      <c r="O361" s="331"/>
      <c r="P361" s="331"/>
      <c r="Q361" s="331"/>
      <c r="R361" s="331"/>
      <c r="S361" s="331"/>
      <c r="T361" s="331"/>
      <c r="U361" s="331"/>
      <c r="V361" s="331"/>
      <c r="W361" s="331"/>
      <c r="X361" s="331"/>
      <c r="Y361" s="121"/>
    </row>
    <row r="362" spans="10:25" x14ac:dyDescent="0.2">
      <c r="J362" s="331"/>
      <c r="K362" s="331"/>
      <c r="L362" s="331"/>
      <c r="M362" s="331"/>
      <c r="N362" s="331"/>
      <c r="O362" s="331"/>
      <c r="P362" s="331"/>
      <c r="Q362" s="331"/>
      <c r="R362" s="331"/>
      <c r="S362" s="331"/>
      <c r="T362" s="331"/>
      <c r="U362" s="331"/>
      <c r="V362" s="331"/>
      <c r="W362" s="331"/>
      <c r="X362" s="331"/>
      <c r="Y362" s="121"/>
    </row>
    <row r="363" spans="10:25" x14ac:dyDescent="0.2">
      <c r="J363" s="331"/>
      <c r="K363" s="331"/>
      <c r="L363" s="331"/>
      <c r="M363" s="331"/>
      <c r="N363" s="331"/>
      <c r="O363" s="331"/>
      <c r="P363" s="331"/>
      <c r="Q363" s="331"/>
      <c r="R363" s="331"/>
      <c r="S363" s="331"/>
      <c r="T363" s="331"/>
      <c r="U363" s="331"/>
      <c r="V363" s="331"/>
      <c r="W363" s="331"/>
      <c r="X363" s="331"/>
      <c r="Y363" s="121"/>
    </row>
    <row r="364" spans="10:25" x14ac:dyDescent="0.2">
      <c r="J364" s="331"/>
      <c r="K364" s="331"/>
      <c r="L364" s="331"/>
      <c r="M364" s="331"/>
      <c r="N364" s="331"/>
      <c r="O364" s="331"/>
      <c r="P364" s="331"/>
      <c r="Q364" s="331"/>
      <c r="R364" s="331"/>
      <c r="S364" s="331"/>
      <c r="T364" s="331"/>
      <c r="U364" s="331"/>
      <c r="V364" s="331"/>
      <c r="W364" s="331"/>
      <c r="X364" s="331"/>
      <c r="Y364" s="121"/>
    </row>
    <row r="365" spans="10:25" x14ac:dyDescent="0.2">
      <c r="J365" s="331"/>
      <c r="K365" s="331"/>
      <c r="L365" s="331"/>
      <c r="M365" s="331"/>
      <c r="N365" s="331"/>
      <c r="O365" s="331"/>
      <c r="P365" s="331"/>
      <c r="Q365" s="331"/>
      <c r="R365" s="331"/>
      <c r="S365" s="331"/>
      <c r="T365" s="331"/>
      <c r="U365" s="331"/>
      <c r="V365" s="331"/>
      <c r="W365" s="331"/>
      <c r="X365" s="331"/>
      <c r="Y365" s="121"/>
    </row>
    <row r="366" spans="10:25" x14ac:dyDescent="0.2">
      <c r="J366" s="331"/>
      <c r="K366" s="331"/>
      <c r="L366" s="331"/>
      <c r="M366" s="331"/>
      <c r="N366" s="331"/>
      <c r="O366" s="331"/>
      <c r="P366" s="331"/>
      <c r="Q366" s="331"/>
      <c r="R366" s="331"/>
      <c r="S366" s="331"/>
      <c r="T366" s="331"/>
      <c r="U366" s="331"/>
      <c r="V366" s="331"/>
      <c r="W366" s="331"/>
      <c r="X366" s="331"/>
      <c r="Y366" s="121"/>
    </row>
    <row r="367" spans="10:25" x14ac:dyDescent="0.2">
      <c r="J367" s="331"/>
      <c r="K367" s="331"/>
      <c r="L367" s="331"/>
      <c r="M367" s="331"/>
      <c r="N367" s="331"/>
      <c r="O367" s="331"/>
      <c r="P367" s="331"/>
      <c r="Q367" s="331"/>
      <c r="R367" s="331"/>
      <c r="S367" s="331"/>
      <c r="T367" s="331"/>
      <c r="U367" s="331"/>
      <c r="V367" s="331"/>
      <c r="W367" s="331"/>
      <c r="X367" s="331"/>
      <c r="Y367" s="121"/>
    </row>
    <row r="368" spans="10:25" x14ac:dyDescent="0.2">
      <c r="J368" s="331"/>
      <c r="K368" s="331"/>
      <c r="L368" s="331"/>
      <c r="M368" s="331"/>
      <c r="N368" s="331"/>
      <c r="O368" s="331"/>
      <c r="P368" s="331"/>
      <c r="Q368" s="331"/>
      <c r="R368" s="331"/>
      <c r="S368" s="331"/>
      <c r="T368" s="331"/>
      <c r="U368" s="331"/>
      <c r="V368" s="331"/>
      <c r="W368" s="331"/>
      <c r="X368" s="331"/>
      <c r="Y368" s="121"/>
    </row>
    <row r="369" spans="10:25" x14ac:dyDescent="0.2">
      <c r="J369" s="331"/>
      <c r="K369" s="331"/>
      <c r="L369" s="331"/>
      <c r="M369" s="331"/>
      <c r="N369" s="331"/>
      <c r="O369" s="331"/>
      <c r="P369" s="331"/>
      <c r="Q369" s="331"/>
      <c r="R369" s="331"/>
      <c r="S369" s="331"/>
      <c r="T369" s="331"/>
      <c r="U369" s="331"/>
      <c r="V369" s="331"/>
      <c r="W369" s="331"/>
      <c r="X369" s="331"/>
      <c r="Y369" s="121"/>
    </row>
    <row r="370" spans="10:25" x14ac:dyDescent="0.2">
      <c r="J370" s="331"/>
      <c r="K370" s="331"/>
      <c r="L370" s="331"/>
      <c r="M370" s="331"/>
      <c r="N370" s="331"/>
      <c r="O370" s="331"/>
      <c r="P370" s="331"/>
      <c r="Q370" s="331"/>
      <c r="R370" s="331"/>
      <c r="S370" s="331"/>
      <c r="T370" s="331"/>
      <c r="U370" s="331"/>
      <c r="V370" s="331"/>
      <c r="W370" s="331"/>
      <c r="X370" s="331"/>
      <c r="Y370" s="121"/>
    </row>
    <row r="371" spans="10:25" x14ac:dyDescent="0.2">
      <c r="J371" s="331"/>
      <c r="K371" s="331"/>
      <c r="L371" s="331"/>
      <c r="M371" s="331"/>
      <c r="N371" s="331"/>
      <c r="O371" s="331"/>
      <c r="P371" s="331"/>
      <c r="Q371" s="331"/>
      <c r="R371" s="331"/>
      <c r="S371" s="331"/>
      <c r="T371" s="331"/>
      <c r="U371" s="331"/>
      <c r="V371" s="331"/>
      <c r="W371" s="331"/>
      <c r="X371" s="331"/>
      <c r="Y371" s="121"/>
    </row>
    <row r="372" spans="10:25" x14ac:dyDescent="0.2">
      <c r="J372" s="331"/>
      <c r="K372" s="331"/>
      <c r="L372" s="331"/>
      <c r="M372" s="331"/>
      <c r="N372" s="331"/>
      <c r="O372" s="331"/>
      <c r="P372" s="331"/>
      <c r="Q372" s="331"/>
      <c r="R372" s="331"/>
      <c r="S372" s="331"/>
      <c r="T372" s="331"/>
      <c r="U372" s="331"/>
      <c r="V372" s="331"/>
      <c r="W372" s="331"/>
      <c r="X372" s="331"/>
      <c r="Y372" s="121"/>
    </row>
    <row r="373" spans="10:25" x14ac:dyDescent="0.2">
      <c r="J373" s="331"/>
      <c r="K373" s="331"/>
      <c r="L373" s="331"/>
      <c r="M373" s="331"/>
      <c r="N373" s="331"/>
      <c r="O373" s="331"/>
      <c r="P373" s="331"/>
      <c r="Q373" s="331"/>
      <c r="R373" s="331"/>
      <c r="S373" s="331"/>
      <c r="T373" s="331"/>
      <c r="U373" s="331"/>
      <c r="V373" s="331"/>
      <c r="W373" s="331"/>
      <c r="X373" s="331"/>
      <c r="Y373" s="121"/>
    </row>
    <row r="374" spans="10:25" x14ac:dyDescent="0.2">
      <c r="J374" s="331"/>
      <c r="K374" s="331"/>
      <c r="L374" s="331"/>
      <c r="M374" s="331"/>
      <c r="N374" s="331"/>
      <c r="O374" s="331"/>
      <c r="P374" s="331"/>
      <c r="Q374" s="331"/>
      <c r="R374" s="331"/>
      <c r="S374" s="331"/>
      <c r="T374" s="331"/>
      <c r="U374" s="331"/>
      <c r="V374" s="331"/>
      <c r="W374" s="331"/>
      <c r="X374" s="331"/>
      <c r="Y374" s="121"/>
    </row>
    <row r="375" spans="10:25" x14ac:dyDescent="0.2">
      <c r="J375" s="331"/>
      <c r="K375" s="331"/>
      <c r="L375" s="331"/>
      <c r="M375" s="331"/>
      <c r="N375" s="331"/>
      <c r="O375" s="331"/>
      <c r="P375" s="331"/>
      <c r="Q375" s="331"/>
      <c r="R375" s="331"/>
      <c r="S375" s="331"/>
      <c r="T375" s="331"/>
      <c r="U375" s="331"/>
      <c r="V375" s="331"/>
      <c r="W375" s="331"/>
      <c r="X375" s="331"/>
      <c r="Y375" s="121"/>
    </row>
    <row r="376" spans="10:25" x14ac:dyDescent="0.2">
      <c r="J376" s="331"/>
      <c r="K376" s="331"/>
      <c r="L376" s="331"/>
      <c r="M376" s="331"/>
      <c r="N376" s="331"/>
      <c r="O376" s="331"/>
      <c r="P376" s="331"/>
      <c r="Q376" s="331"/>
      <c r="R376" s="331"/>
      <c r="S376" s="331"/>
      <c r="T376" s="331"/>
      <c r="U376" s="331"/>
      <c r="V376" s="331"/>
      <c r="W376" s="331"/>
      <c r="X376" s="331"/>
      <c r="Y376" s="121"/>
    </row>
    <row r="377" spans="10:25" x14ac:dyDescent="0.2">
      <c r="J377" s="331"/>
      <c r="K377" s="331"/>
      <c r="L377" s="331"/>
      <c r="M377" s="331"/>
      <c r="N377" s="331"/>
      <c r="O377" s="331"/>
      <c r="P377" s="331"/>
      <c r="Q377" s="331"/>
      <c r="R377" s="331"/>
      <c r="S377" s="331"/>
      <c r="T377" s="331"/>
      <c r="U377" s="331"/>
      <c r="V377" s="331"/>
      <c r="W377" s="331"/>
      <c r="X377" s="331"/>
      <c r="Y377" s="121"/>
    </row>
    <row r="378" spans="10:25" x14ac:dyDescent="0.2">
      <c r="J378" s="331"/>
      <c r="K378" s="331"/>
      <c r="L378" s="331"/>
      <c r="M378" s="331"/>
      <c r="N378" s="331"/>
      <c r="O378" s="331"/>
      <c r="P378" s="331"/>
      <c r="Q378" s="331"/>
      <c r="R378" s="331"/>
      <c r="S378" s="331"/>
      <c r="T378" s="331"/>
      <c r="U378" s="331"/>
      <c r="V378" s="331"/>
      <c r="W378" s="331"/>
      <c r="X378" s="331"/>
      <c r="Y378" s="121"/>
    </row>
    <row r="379" spans="10:25" x14ac:dyDescent="0.2">
      <c r="J379" s="331"/>
      <c r="K379" s="331"/>
      <c r="L379" s="331"/>
      <c r="M379" s="331"/>
      <c r="N379" s="331"/>
      <c r="O379" s="331"/>
      <c r="P379" s="331"/>
      <c r="Q379" s="331"/>
      <c r="R379" s="331"/>
      <c r="S379" s="331"/>
      <c r="T379" s="331"/>
      <c r="U379" s="331"/>
      <c r="V379" s="331"/>
      <c r="W379" s="331"/>
      <c r="X379" s="331"/>
      <c r="Y379" s="121"/>
    </row>
    <row r="380" spans="10:25" x14ac:dyDescent="0.2">
      <c r="J380" s="331"/>
      <c r="K380" s="331"/>
      <c r="L380" s="331"/>
      <c r="M380" s="331"/>
      <c r="N380" s="331"/>
      <c r="O380" s="331"/>
      <c r="P380" s="331"/>
      <c r="Q380" s="331"/>
      <c r="R380" s="331"/>
      <c r="S380" s="331"/>
      <c r="T380" s="331"/>
      <c r="U380" s="331"/>
      <c r="V380" s="331"/>
      <c r="W380" s="331"/>
      <c r="X380" s="331"/>
      <c r="Y380" s="121"/>
    </row>
    <row r="381" spans="10:25" x14ac:dyDescent="0.2">
      <c r="J381" s="331"/>
      <c r="K381" s="331"/>
      <c r="L381" s="331"/>
      <c r="M381" s="331"/>
      <c r="N381" s="331"/>
      <c r="O381" s="331"/>
      <c r="P381" s="331"/>
      <c r="Q381" s="331"/>
      <c r="R381" s="331"/>
      <c r="S381" s="331"/>
      <c r="T381" s="331"/>
      <c r="U381" s="331"/>
      <c r="V381" s="331"/>
      <c r="W381" s="331"/>
      <c r="X381" s="331"/>
      <c r="Y381" s="121"/>
    </row>
    <row r="382" spans="10:25" x14ac:dyDescent="0.2">
      <c r="J382" s="331"/>
      <c r="K382" s="331"/>
      <c r="L382" s="331"/>
      <c r="M382" s="331"/>
      <c r="N382" s="331"/>
      <c r="O382" s="331"/>
      <c r="P382" s="331"/>
      <c r="Q382" s="331"/>
      <c r="R382" s="331"/>
      <c r="S382" s="331"/>
      <c r="T382" s="331"/>
      <c r="U382" s="331"/>
      <c r="V382" s="331"/>
      <c r="W382" s="331"/>
      <c r="X382" s="331"/>
      <c r="Y382" s="121"/>
    </row>
    <row r="383" spans="10:25" x14ac:dyDescent="0.2">
      <c r="J383" s="331"/>
      <c r="K383" s="331"/>
      <c r="L383" s="331"/>
      <c r="M383" s="331"/>
      <c r="N383" s="331"/>
      <c r="O383" s="331"/>
      <c r="P383" s="331"/>
      <c r="Q383" s="331"/>
      <c r="R383" s="331"/>
      <c r="S383" s="331"/>
      <c r="T383" s="331"/>
      <c r="U383" s="331"/>
      <c r="V383" s="331"/>
      <c r="W383" s="331"/>
      <c r="X383" s="331"/>
      <c r="Y383" s="121"/>
    </row>
    <row r="384" spans="10:25" x14ac:dyDescent="0.2">
      <c r="J384" s="331"/>
      <c r="K384" s="331"/>
      <c r="L384" s="331"/>
      <c r="M384" s="331"/>
      <c r="N384" s="331"/>
      <c r="O384" s="331"/>
      <c r="P384" s="331"/>
      <c r="Q384" s="331"/>
      <c r="R384" s="331"/>
      <c r="S384" s="331"/>
      <c r="T384" s="331"/>
      <c r="U384" s="331"/>
      <c r="V384" s="331"/>
      <c r="W384" s="331"/>
      <c r="X384" s="331"/>
      <c r="Y384" s="121"/>
    </row>
    <row r="385" spans="10:25" x14ac:dyDescent="0.2">
      <c r="J385" s="331"/>
      <c r="K385" s="331"/>
      <c r="L385" s="331"/>
      <c r="M385" s="331"/>
      <c r="N385" s="331"/>
      <c r="O385" s="331"/>
      <c r="P385" s="331"/>
      <c r="Q385" s="331"/>
      <c r="R385" s="331"/>
      <c r="S385" s="331"/>
      <c r="T385" s="331"/>
      <c r="U385" s="331"/>
      <c r="V385" s="331"/>
      <c r="W385" s="331"/>
      <c r="X385" s="331"/>
      <c r="Y385" s="121"/>
    </row>
    <row r="386" spans="10:25" x14ac:dyDescent="0.2">
      <c r="J386" s="331"/>
      <c r="K386" s="331"/>
      <c r="L386" s="331"/>
      <c r="M386" s="331"/>
      <c r="N386" s="331"/>
      <c r="O386" s="331"/>
      <c r="P386" s="331"/>
      <c r="Q386" s="331"/>
      <c r="R386" s="331"/>
      <c r="S386" s="331"/>
      <c r="T386" s="331"/>
      <c r="U386" s="331"/>
      <c r="V386" s="331"/>
      <c r="W386" s="331"/>
      <c r="X386" s="331"/>
      <c r="Y386" s="121"/>
    </row>
    <row r="387" spans="10:25" x14ac:dyDescent="0.2">
      <c r="J387" s="331"/>
      <c r="K387" s="331"/>
      <c r="L387" s="331"/>
      <c r="M387" s="331"/>
      <c r="N387" s="331"/>
      <c r="O387" s="331"/>
      <c r="P387" s="331"/>
      <c r="Q387" s="331"/>
      <c r="R387" s="331"/>
      <c r="S387" s="331"/>
      <c r="T387" s="331"/>
      <c r="U387" s="331"/>
      <c r="V387" s="331"/>
      <c r="W387" s="331"/>
      <c r="X387" s="331"/>
      <c r="Y387" s="121"/>
    </row>
    <row r="388" spans="10:25" x14ac:dyDescent="0.2">
      <c r="J388" s="331"/>
      <c r="K388" s="331"/>
      <c r="L388" s="331"/>
      <c r="M388" s="331"/>
      <c r="N388" s="331"/>
      <c r="O388" s="331"/>
      <c r="P388" s="331"/>
      <c r="Q388" s="331"/>
      <c r="R388" s="331"/>
      <c r="S388" s="331"/>
      <c r="T388" s="331"/>
      <c r="U388" s="331"/>
      <c r="V388" s="331"/>
      <c r="W388" s="331"/>
      <c r="X388" s="331"/>
      <c r="Y388" s="121"/>
    </row>
    <row r="389" spans="10:25" x14ac:dyDescent="0.2">
      <c r="J389" s="331"/>
      <c r="K389" s="331"/>
      <c r="L389" s="331"/>
      <c r="M389" s="331"/>
      <c r="N389" s="331"/>
      <c r="O389" s="331"/>
      <c r="P389" s="331"/>
      <c r="Q389" s="331"/>
      <c r="R389" s="331"/>
      <c r="S389" s="331"/>
      <c r="T389" s="331"/>
      <c r="U389" s="331"/>
      <c r="V389" s="331"/>
      <c r="W389" s="331"/>
      <c r="X389" s="331"/>
      <c r="Y389" s="121"/>
    </row>
    <row r="390" spans="10:25" x14ac:dyDescent="0.2">
      <c r="J390" s="331"/>
      <c r="K390" s="331"/>
      <c r="L390" s="331"/>
      <c r="M390" s="331"/>
      <c r="N390" s="331"/>
      <c r="O390" s="331"/>
      <c r="P390" s="331"/>
      <c r="Q390" s="331"/>
      <c r="R390" s="331"/>
      <c r="S390" s="331"/>
      <c r="T390" s="331"/>
      <c r="U390" s="331"/>
      <c r="V390" s="331"/>
      <c r="W390" s="331"/>
      <c r="X390" s="331"/>
      <c r="Y390" s="121"/>
    </row>
    <row r="391" spans="10:25" x14ac:dyDescent="0.2">
      <c r="J391" s="331"/>
      <c r="K391" s="331"/>
      <c r="L391" s="331"/>
      <c r="M391" s="331"/>
      <c r="N391" s="331"/>
      <c r="O391" s="331"/>
      <c r="P391" s="331"/>
      <c r="Q391" s="331"/>
      <c r="R391" s="331"/>
      <c r="S391" s="331"/>
      <c r="T391" s="331"/>
      <c r="U391" s="331"/>
      <c r="V391" s="331"/>
      <c r="W391" s="331"/>
      <c r="X391" s="331"/>
      <c r="Y391" s="121"/>
    </row>
    <row r="392" spans="10:25" x14ac:dyDescent="0.2">
      <c r="J392" s="331"/>
      <c r="K392" s="331"/>
      <c r="L392" s="331"/>
      <c r="M392" s="331"/>
      <c r="N392" s="331"/>
      <c r="O392" s="331"/>
      <c r="P392" s="331"/>
      <c r="Q392" s="331"/>
      <c r="R392" s="331"/>
      <c r="S392" s="331"/>
      <c r="T392" s="331"/>
      <c r="U392" s="331"/>
      <c r="V392" s="331"/>
      <c r="W392" s="331"/>
      <c r="X392" s="331"/>
      <c r="Y392" s="121"/>
    </row>
    <row r="393" spans="10:25" x14ac:dyDescent="0.2">
      <c r="J393" s="331"/>
      <c r="K393" s="331"/>
      <c r="L393" s="331"/>
      <c r="M393" s="331"/>
      <c r="N393" s="331"/>
      <c r="O393" s="331"/>
      <c r="P393" s="331"/>
      <c r="Q393" s="331"/>
      <c r="R393" s="331"/>
      <c r="S393" s="331"/>
      <c r="T393" s="331"/>
      <c r="U393" s="331"/>
      <c r="V393" s="331"/>
      <c r="W393" s="331"/>
      <c r="X393" s="331"/>
      <c r="Y393" s="121"/>
    </row>
    <row r="394" spans="10:25" x14ac:dyDescent="0.2">
      <c r="J394" s="331"/>
      <c r="K394" s="331"/>
      <c r="L394" s="331"/>
      <c r="M394" s="331"/>
      <c r="N394" s="331"/>
      <c r="O394" s="331"/>
      <c r="P394" s="331"/>
      <c r="Q394" s="331"/>
      <c r="R394" s="331"/>
      <c r="S394" s="331"/>
      <c r="T394" s="331"/>
      <c r="U394" s="331"/>
      <c r="V394" s="331"/>
      <c r="W394" s="331"/>
      <c r="X394" s="331"/>
      <c r="Y394" s="121"/>
    </row>
    <row r="395" spans="10:25" x14ac:dyDescent="0.2">
      <c r="J395" s="331"/>
      <c r="K395" s="331"/>
      <c r="L395" s="331"/>
      <c r="M395" s="331"/>
      <c r="N395" s="331"/>
      <c r="O395" s="331"/>
      <c r="P395" s="331"/>
      <c r="Q395" s="331"/>
      <c r="R395" s="331"/>
      <c r="S395" s="331"/>
      <c r="T395" s="331"/>
      <c r="U395" s="331"/>
      <c r="V395" s="331"/>
      <c r="W395" s="331"/>
      <c r="X395" s="331"/>
      <c r="Y395" s="121"/>
    </row>
    <row r="396" spans="10:25" x14ac:dyDescent="0.2">
      <c r="J396" s="331"/>
      <c r="K396" s="331"/>
      <c r="L396" s="331"/>
      <c r="M396" s="331"/>
      <c r="N396" s="331"/>
      <c r="O396" s="331"/>
      <c r="P396" s="331"/>
      <c r="Q396" s="331"/>
      <c r="R396" s="331"/>
      <c r="S396" s="331"/>
      <c r="T396" s="331"/>
      <c r="U396" s="331"/>
      <c r="V396" s="331"/>
      <c r="W396" s="331"/>
      <c r="X396" s="331"/>
      <c r="Y396" s="121"/>
    </row>
    <row r="397" spans="10:25" x14ac:dyDescent="0.2">
      <c r="J397" s="331"/>
      <c r="K397" s="331"/>
      <c r="L397" s="331"/>
      <c r="M397" s="331"/>
      <c r="N397" s="331"/>
      <c r="O397" s="331"/>
      <c r="P397" s="331"/>
      <c r="Q397" s="331"/>
      <c r="R397" s="331"/>
      <c r="S397" s="331"/>
      <c r="T397" s="331"/>
      <c r="U397" s="331"/>
      <c r="V397" s="331"/>
      <c r="W397" s="331"/>
      <c r="X397" s="331"/>
      <c r="Y397" s="121"/>
    </row>
    <row r="398" spans="10:25" x14ac:dyDescent="0.2">
      <c r="J398" s="331"/>
      <c r="K398" s="331"/>
      <c r="L398" s="331"/>
      <c r="M398" s="331"/>
      <c r="N398" s="331"/>
      <c r="O398" s="331"/>
      <c r="P398" s="331"/>
      <c r="Q398" s="331"/>
      <c r="R398" s="331"/>
      <c r="S398" s="331"/>
      <c r="T398" s="331"/>
      <c r="U398" s="331"/>
      <c r="V398" s="331"/>
      <c r="W398" s="331"/>
      <c r="X398" s="331"/>
      <c r="Y398" s="121"/>
    </row>
    <row r="399" spans="10:25" x14ac:dyDescent="0.2">
      <c r="J399" s="331"/>
      <c r="K399" s="331"/>
      <c r="L399" s="331"/>
      <c r="M399" s="331"/>
      <c r="N399" s="331"/>
      <c r="O399" s="331"/>
      <c r="P399" s="331"/>
      <c r="Q399" s="331"/>
      <c r="R399" s="331"/>
      <c r="S399" s="331"/>
      <c r="T399" s="331"/>
      <c r="U399" s="331"/>
      <c r="V399" s="331"/>
      <c r="W399" s="331"/>
      <c r="X399" s="331"/>
      <c r="Y399" s="121"/>
    </row>
    <row r="400" spans="10:25" x14ac:dyDescent="0.2">
      <c r="J400" s="331"/>
      <c r="K400" s="331"/>
      <c r="L400" s="331"/>
      <c r="M400" s="331"/>
      <c r="N400" s="331"/>
      <c r="O400" s="331"/>
      <c r="P400" s="331"/>
      <c r="Q400" s="331"/>
      <c r="R400" s="331"/>
      <c r="S400" s="331"/>
      <c r="T400" s="331"/>
      <c r="U400" s="331"/>
      <c r="V400" s="331"/>
      <c r="W400" s="331"/>
      <c r="X400" s="331"/>
      <c r="Y400" s="121"/>
    </row>
    <row r="401" spans="10:25" x14ac:dyDescent="0.2">
      <c r="J401" s="331"/>
      <c r="K401" s="331"/>
      <c r="L401" s="331"/>
      <c r="M401" s="331"/>
      <c r="N401" s="331"/>
      <c r="O401" s="331"/>
      <c r="P401" s="331"/>
      <c r="Q401" s="331"/>
      <c r="R401" s="331"/>
      <c r="S401" s="331"/>
      <c r="T401" s="331"/>
      <c r="U401" s="331"/>
      <c r="V401" s="331"/>
      <c r="W401" s="331"/>
      <c r="X401" s="331"/>
      <c r="Y401" s="121"/>
    </row>
    <row r="402" spans="10:25" x14ac:dyDescent="0.2">
      <c r="J402" s="331"/>
      <c r="K402" s="331"/>
      <c r="L402" s="331"/>
      <c r="M402" s="331"/>
      <c r="N402" s="331"/>
      <c r="O402" s="331"/>
      <c r="P402" s="331"/>
      <c r="Q402" s="331"/>
      <c r="R402" s="331"/>
      <c r="S402" s="331"/>
      <c r="T402" s="331"/>
      <c r="U402" s="331"/>
      <c r="V402" s="331"/>
      <c r="W402" s="331"/>
      <c r="X402" s="331"/>
      <c r="Y402" s="121"/>
    </row>
    <row r="403" spans="10:25" x14ac:dyDescent="0.2">
      <c r="J403" s="331"/>
      <c r="K403" s="331"/>
      <c r="L403" s="331"/>
      <c r="M403" s="331"/>
      <c r="N403" s="331"/>
      <c r="O403" s="331"/>
      <c r="P403" s="331"/>
      <c r="Q403" s="331"/>
      <c r="R403" s="331"/>
      <c r="S403" s="331"/>
      <c r="T403" s="331"/>
      <c r="U403" s="331"/>
      <c r="V403" s="331"/>
      <c r="W403" s="331"/>
      <c r="X403" s="331"/>
      <c r="Y403" s="121"/>
    </row>
    <row r="404" spans="10:25" x14ac:dyDescent="0.2">
      <c r="J404" s="331"/>
      <c r="K404" s="331"/>
      <c r="L404" s="331"/>
      <c r="M404" s="331"/>
      <c r="N404" s="331"/>
      <c r="O404" s="331"/>
      <c r="P404" s="331"/>
      <c r="Q404" s="331"/>
      <c r="R404" s="331"/>
      <c r="S404" s="331"/>
      <c r="T404" s="331"/>
      <c r="U404" s="331"/>
      <c r="V404" s="331"/>
      <c r="W404" s="331"/>
      <c r="X404" s="331"/>
      <c r="Y404" s="121"/>
    </row>
    <row r="405" spans="10:25" x14ac:dyDescent="0.2">
      <c r="J405" s="331"/>
      <c r="K405" s="331"/>
      <c r="L405" s="331"/>
      <c r="M405" s="331"/>
      <c r="N405" s="331"/>
      <c r="O405" s="331"/>
      <c r="P405" s="331"/>
      <c r="Q405" s="331"/>
      <c r="R405" s="331"/>
      <c r="S405" s="331"/>
      <c r="T405" s="331"/>
      <c r="U405" s="331"/>
      <c r="V405" s="331"/>
      <c r="W405" s="331"/>
      <c r="X405" s="331"/>
      <c r="Y405" s="121"/>
    </row>
    <row r="406" spans="10:25" x14ac:dyDescent="0.2">
      <c r="J406" s="331"/>
      <c r="K406" s="331"/>
      <c r="L406" s="331"/>
      <c r="M406" s="331"/>
      <c r="N406" s="331"/>
      <c r="O406" s="331"/>
      <c r="P406" s="331"/>
      <c r="Q406" s="331"/>
      <c r="R406" s="331"/>
      <c r="S406" s="331"/>
      <c r="T406" s="331"/>
      <c r="U406" s="331"/>
      <c r="V406" s="331"/>
      <c r="W406" s="331"/>
      <c r="X406" s="331"/>
      <c r="Y406" s="121"/>
    </row>
    <row r="407" spans="10:25" x14ac:dyDescent="0.2">
      <c r="J407" s="331"/>
      <c r="K407" s="331"/>
      <c r="L407" s="331"/>
      <c r="M407" s="331"/>
      <c r="N407" s="331"/>
      <c r="O407" s="331"/>
      <c r="P407" s="331"/>
      <c r="Q407" s="331"/>
      <c r="R407" s="331"/>
      <c r="S407" s="331"/>
      <c r="T407" s="331"/>
      <c r="U407" s="331"/>
      <c r="V407" s="331"/>
      <c r="W407" s="331"/>
      <c r="X407" s="331"/>
      <c r="Y407" s="121"/>
    </row>
    <row r="408" spans="10:25" x14ac:dyDescent="0.2">
      <c r="J408" s="331"/>
      <c r="K408" s="331"/>
      <c r="L408" s="331"/>
      <c r="M408" s="331"/>
      <c r="N408" s="331"/>
      <c r="O408" s="331"/>
      <c r="P408" s="331"/>
      <c r="Q408" s="331"/>
      <c r="R408" s="331"/>
      <c r="S408" s="331"/>
      <c r="T408" s="331"/>
      <c r="U408" s="331"/>
      <c r="V408" s="331"/>
      <c r="W408" s="331"/>
      <c r="X408" s="331"/>
      <c r="Y408" s="121"/>
    </row>
    <row r="409" spans="10:25" x14ac:dyDescent="0.2">
      <c r="J409" s="331"/>
      <c r="K409" s="331"/>
      <c r="L409" s="331"/>
      <c r="M409" s="331"/>
      <c r="N409" s="331"/>
      <c r="O409" s="331"/>
      <c r="P409" s="331"/>
      <c r="Q409" s="331"/>
      <c r="R409" s="331"/>
      <c r="S409" s="331"/>
      <c r="T409" s="331"/>
      <c r="U409" s="331"/>
      <c r="V409" s="331"/>
      <c r="W409" s="331"/>
      <c r="X409" s="331"/>
      <c r="Y409" s="121"/>
    </row>
    <row r="410" spans="10:25" x14ac:dyDescent="0.2">
      <c r="J410" s="331"/>
      <c r="K410" s="331"/>
      <c r="L410" s="331"/>
      <c r="M410" s="331"/>
      <c r="N410" s="331"/>
      <c r="O410" s="331"/>
      <c r="P410" s="331"/>
      <c r="Q410" s="331"/>
      <c r="R410" s="331"/>
      <c r="S410" s="331"/>
      <c r="T410" s="331"/>
      <c r="U410" s="331"/>
      <c r="V410" s="331"/>
      <c r="W410" s="331"/>
      <c r="X410" s="331"/>
      <c r="Y410" s="121"/>
    </row>
    <row r="411" spans="10:25" x14ac:dyDescent="0.2">
      <c r="J411" s="331"/>
      <c r="K411" s="331"/>
      <c r="L411" s="331"/>
      <c r="M411" s="331"/>
      <c r="N411" s="331"/>
      <c r="O411" s="331"/>
      <c r="P411" s="331"/>
      <c r="Q411" s="331"/>
      <c r="R411" s="331"/>
      <c r="S411" s="331"/>
      <c r="T411" s="331"/>
      <c r="U411" s="331"/>
      <c r="V411" s="331"/>
      <c r="W411" s="331"/>
      <c r="X411" s="331"/>
      <c r="Y411" s="121"/>
    </row>
    <row r="412" spans="10:25" x14ac:dyDescent="0.2">
      <c r="J412" s="331"/>
      <c r="K412" s="331"/>
      <c r="L412" s="331"/>
      <c r="M412" s="331"/>
      <c r="N412" s="331"/>
      <c r="O412" s="331"/>
      <c r="P412" s="331"/>
      <c r="Q412" s="331"/>
      <c r="R412" s="331"/>
      <c r="S412" s="331"/>
      <c r="T412" s="331"/>
      <c r="U412" s="331"/>
      <c r="V412" s="331"/>
      <c r="W412" s="331"/>
      <c r="X412" s="331"/>
      <c r="Y412" s="121"/>
    </row>
    <row r="413" spans="10:25" x14ac:dyDescent="0.2">
      <c r="J413" s="331"/>
      <c r="K413" s="331"/>
      <c r="L413" s="331"/>
      <c r="M413" s="331"/>
      <c r="N413" s="331"/>
      <c r="O413" s="331"/>
      <c r="P413" s="331"/>
      <c r="Q413" s="331"/>
      <c r="R413" s="331"/>
      <c r="S413" s="331"/>
      <c r="T413" s="331"/>
      <c r="U413" s="331"/>
      <c r="V413" s="331"/>
      <c r="W413" s="331"/>
      <c r="X413" s="331"/>
      <c r="Y413" s="121"/>
    </row>
    <row r="414" spans="10:25" x14ac:dyDescent="0.2">
      <c r="J414" s="331"/>
      <c r="K414" s="331"/>
      <c r="L414" s="331"/>
      <c r="M414" s="331"/>
      <c r="N414" s="331"/>
      <c r="O414" s="331"/>
      <c r="P414" s="331"/>
      <c r="Q414" s="331"/>
      <c r="R414" s="331"/>
      <c r="S414" s="331"/>
      <c r="T414" s="331"/>
      <c r="U414" s="331"/>
      <c r="V414" s="331"/>
      <c r="W414" s="331"/>
      <c r="X414" s="331"/>
      <c r="Y414" s="121"/>
    </row>
    <row r="415" spans="10:25" x14ac:dyDescent="0.2">
      <c r="J415" s="331"/>
      <c r="K415" s="331"/>
      <c r="L415" s="331"/>
      <c r="M415" s="331"/>
      <c r="N415" s="331"/>
      <c r="O415" s="331"/>
      <c r="P415" s="331"/>
      <c r="Q415" s="331"/>
      <c r="R415" s="331"/>
      <c r="S415" s="331"/>
      <c r="T415" s="331"/>
      <c r="U415" s="331"/>
      <c r="V415" s="331"/>
      <c r="W415" s="331"/>
      <c r="X415" s="331"/>
      <c r="Y415" s="121"/>
    </row>
    <row r="416" spans="10:25" x14ac:dyDescent="0.2">
      <c r="J416" s="331"/>
      <c r="K416" s="331"/>
      <c r="L416" s="331"/>
      <c r="M416" s="331"/>
      <c r="N416" s="331"/>
      <c r="O416" s="331"/>
      <c r="P416" s="331"/>
      <c r="Q416" s="331"/>
      <c r="R416" s="331"/>
      <c r="S416" s="331"/>
      <c r="T416" s="331"/>
      <c r="U416" s="331"/>
      <c r="V416" s="331"/>
      <c r="W416" s="331"/>
      <c r="X416" s="331"/>
      <c r="Y416" s="121"/>
    </row>
    <row r="417" spans="10:25" x14ac:dyDescent="0.2">
      <c r="J417" s="331"/>
      <c r="K417" s="331"/>
      <c r="L417" s="331"/>
      <c r="M417" s="331"/>
      <c r="N417" s="331"/>
      <c r="O417" s="331"/>
      <c r="P417" s="331"/>
      <c r="Q417" s="331"/>
      <c r="R417" s="331"/>
      <c r="S417" s="331"/>
      <c r="T417" s="331"/>
      <c r="U417" s="331"/>
      <c r="V417" s="331"/>
      <c r="W417" s="331"/>
      <c r="X417" s="331"/>
      <c r="Y417" s="121"/>
    </row>
    <row r="418" spans="10:25" x14ac:dyDescent="0.2">
      <c r="J418" s="331"/>
      <c r="K418" s="331"/>
      <c r="L418" s="331"/>
      <c r="M418" s="331"/>
      <c r="N418" s="331"/>
      <c r="O418" s="331"/>
      <c r="P418" s="331"/>
      <c r="Q418" s="331"/>
      <c r="R418" s="331"/>
      <c r="S418" s="331"/>
      <c r="T418" s="331"/>
      <c r="U418" s="331"/>
      <c r="V418" s="331"/>
      <c r="W418" s="331"/>
      <c r="X418" s="331"/>
      <c r="Y418" s="121"/>
    </row>
    <row r="419" spans="10:25" x14ac:dyDescent="0.2">
      <c r="J419" s="331"/>
      <c r="K419" s="331"/>
      <c r="L419" s="331"/>
      <c r="M419" s="331"/>
      <c r="N419" s="331"/>
      <c r="O419" s="331"/>
      <c r="P419" s="331"/>
      <c r="Q419" s="331"/>
      <c r="R419" s="331"/>
      <c r="S419" s="331"/>
      <c r="T419" s="331"/>
      <c r="U419" s="331"/>
      <c r="V419" s="331"/>
      <c r="W419" s="331"/>
      <c r="X419" s="331"/>
      <c r="Y419" s="121"/>
    </row>
    <row r="420" spans="10:25" x14ac:dyDescent="0.2">
      <c r="J420" s="331"/>
      <c r="K420" s="331"/>
      <c r="L420" s="331"/>
      <c r="M420" s="331"/>
      <c r="N420" s="331"/>
      <c r="O420" s="331"/>
      <c r="P420" s="331"/>
      <c r="Q420" s="331"/>
      <c r="R420" s="331"/>
      <c r="S420" s="331"/>
      <c r="T420" s="331"/>
      <c r="U420" s="331"/>
      <c r="V420" s="331"/>
      <c r="W420" s="331"/>
      <c r="X420" s="331"/>
      <c r="Y420" s="121"/>
    </row>
    <row r="421" spans="10:25" x14ac:dyDescent="0.2">
      <c r="J421" s="331"/>
      <c r="K421" s="331"/>
      <c r="L421" s="331"/>
      <c r="M421" s="331"/>
      <c r="N421" s="331"/>
      <c r="O421" s="331"/>
      <c r="P421" s="331"/>
      <c r="Q421" s="331"/>
      <c r="R421" s="331"/>
      <c r="S421" s="331"/>
      <c r="T421" s="331"/>
      <c r="U421" s="331"/>
      <c r="V421" s="331"/>
      <c r="W421" s="331"/>
      <c r="X421" s="331"/>
      <c r="Y421" s="121"/>
    </row>
    <row r="422" spans="10:25" x14ac:dyDescent="0.2">
      <c r="J422" s="331"/>
      <c r="K422" s="331"/>
      <c r="L422" s="331"/>
      <c r="M422" s="331"/>
      <c r="N422" s="331"/>
      <c r="O422" s="331"/>
      <c r="P422" s="331"/>
      <c r="Q422" s="331"/>
      <c r="R422" s="331"/>
      <c r="S422" s="331"/>
      <c r="T422" s="331"/>
      <c r="U422" s="331"/>
      <c r="V422" s="331"/>
      <c r="W422" s="331"/>
      <c r="X422" s="331"/>
      <c r="Y422" s="121"/>
    </row>
    <row r="423" spans="10:25" x14ac:dyDescent="0.2">
      <c r="J423" s="331"/>
      <c r="K423" s="331"/>
      <c r="L423" s="331"/>
      <c r="M423" s="331"/>
      <c r="N423" s="331"/>
      <c r="O423" s="331"/>
      <c r="P423" s="331"/>
      <c r="Q423" s="331"/>
      <c r="R423" s="331"/>
      <c r="S423" s="331"/>
      <c r="T423" s="331"/>
      <c r="U423" s="331"/>
      <c r="V423" s="331"/>
      <c r="W423" s="331"/>
      <c r="X423" s="331"/>
      <c r="Y423" s="121"/>
    </row>
    <row r="424" spans="10:25" x14ac:dyDescent="0.2">
      <c r="J424" s="331"/>
      <c r="K424" s="331"/>
      <c r="L424" s="331"/>
      <c r="M424" s="331"/>
      <c r="N424" s="331"/>
      <c r="O424" s="331"/>
      <c r="P424" s="331"/>
      <c r="Q424" s="331"/>
      <c r="R424" s="331"/>
      <c r="S424" s="331"/>
      <c r="T424" s="331"/>
      <c r="U424" s="331"/>
      <c r="V424" s="331"/>
      <c r="W424" s="331"/>
      <c r="X424" s="331"/>
      <c r="Y424" s="121"/>
    </row>
    <row r="425" spans="10:25" x14ac:dyDescent="0.2">
      <c r="J425" s="331"/>
      <c r="K425" s="331"/>
      <c r="L425" s="331"/>
      <c r="M425" s="331"/>
      <c r="N425" s="331"/>
      <c r="O425" s="331"/>
      <c r="P425" s="331"/>
      <c r="Q425" s="331"/>
      <c r="R425" s="331"/>
      <c r="S425" s="331"/>
      <c r="T425" s="331"/>
      <c r="U425" s="331"/>
      <c r="V425" s="331"/>
      <c r="W425" s="331"/>
      <c r="X425" s="331"/>
      <c r="Y425" s="121"/>
    </row>
    <row r="426" spans="10:25" x14ac:dyDescent="0.2">
      <c r="J426" s="331"/>
      <c r="K426" s="331"/>
      <c r="L426" s="331"/>
      <c r="M426" s="331"/>
      <c r="N426" s="331"/>
      <c r="O426" s="331"/>
      <c r="P426" s="331"/>
      <c r="Q426" s="331"/>
      <c r="R426" s="331"/>
      <c r="S426" s="331"/>
      <c r="T426" s="331"/>
      <c r="U426" s="331"/>
      <c r="V426" s="331"/>
      <c r="W426" s="331"/>
      <c r="X426" s="331"/>
      <c r="Y426" s="121"/>
    </row>
    <row r="427" spans="10:25" x14ac:dyDescent="0.2">
      <c r="J427" s="331"/>
      <c r="K427" s="331"/>
      <c r="L427" s="331"/>
      <c r="M427" s="331"/>
      <c r="N427" s="331"/>
      <c r="O427" s="331"/>
      <c r="P427" s="331"/>
      <c r="Q427" s="331"/>
      <c r="R427" s="331"/>
      <c r="S427" s="331"/>
      <c r="T427" s="331"/>
      <c r="U427" s="331"/>
      <c r="V427" s="331"/>
      <c r="W427" s="331"/>
      <c r="X427" s="331"/>
      <c r="Y427" s="121"/>
    </row>
    <row r="428" spans="10:25" x14ac:dyDescent="0.2">
      <c r="J428" s="331"/>
      <c r="K428" s="331"/>
      <c r="L428" s="331"/>
      <c r="M428" s="331"/>
      <c r="N428" s="331"/>
      <c r="O428" s="331"/>
      <c r="P428" s="331"/>
      <c r="Q428" s="331"/>
      <c r="R428" s="331"/>
      <c r="S428" s="331"/>
      <c r="T428" s="331"/>
      <c r="U428" s="331"/>
      <c r="V428" s="331"/>
      <c r="W428" s="331"/>
      <c r="X428" s="331"/>
      <c r="Y428" s="121"/>
    </row>
    <row r="429" spans="10:25" x14ac:dyDescent="0.2">
      <c r="J429" s="331"/>
      <c r="K429" s="331"/>
      <c r="L429" s="331"/>
      <c r="M429" s="331"/>
      <c r="N429" s="331"/>
      <c r="O429" s="331"/>
      <c r="P429" s="331"/>
      <c r="Q429" s="331"/>
      <c r="R429" s="331"/>
      <c r="S429" s="331"/>
      <c r="T429" s="331"/>
      <c r="U429" s="331"/>
      <c r="V429" s="331"/>
      <c r="W429" s="331"/>
      <c r="X429" s="331"/>
      <c r="Y429" s="121"/>
    </row>
    <row r="430" spans="10:25" x14ac:dyDescent="0.2">
      <c r="J430" s="331"/>
      <c r="K430" s="331"/>
      <c r="L430" s="331"/>
      <c r="M430" s="331"/>
      <c r="N430" s="331"/>
      <c r="O430" s="331"/>
      <c r="P430" s="331"/>
      <c r="Q430" s="331"/>
      <c r="R430" s="331"/>
      <c r="S430" s="331"/>
      <c r="T430" s="331"/>
      <c r="U430" s="331"/>
      <c r="V430" s="331"/>
      <c r="W430" s="331"/>
      <c r="X430" s="331"/>
      <c r="Y430" s="121"/>
    </row>
    <row r="431" spans="10:25" x14ac:dyDescent="0.2">
      <c r="J431" s="331"/>
      <c r="K431" s="331"/>
      <c r="L431" s="331"/>
      <c r="M431" s="331"/>
      <c r="N431" s="331"/>
      <c r="O431" s="331"/>
      <c r="P431" s="331"/>
      <c r="Q431" s="331"/>
      <c r="R431" s="331"/>
      <c r="S431" s="331"/>
      <c r="T431" s="331"/>
      <c r="U431" s="331"/>
      <c r="V431" s="331"/>
      <c r="W431" s="331"/>
      <c r="X431" s="331"/>
      <c r="Y431" s="121"/>
    </row>
    <row r="432" spans="10:25" x14ac:dyDescent="0.2">
      <c r="J432" s="331"/>
      <c r="K432" s="331"/>
      <c r="L432" s="331"/>
      <c r="M432" s="331"/>
      <c r="N432" s="331"/>
      <c r="O432" s="331"/>
      <c r="P432" s="331"/>
      <c r="Q432" s="331"/>
      <c r="R432" s="331"/>
      <c r="S432" s="331"/>
      <c r="T432" s="331"/>
      <c r="U432" s="331"/>
      <c r="V432" s="331"/>
      <c r="W432" s="331"/>
      <c r="X432" s="331"/>
      <c r="Y432" s="121"/>
    </row>
    <row r="433" spans="10:25" x14ac:dyDescent="0.2">
      <c r="J433" s="331"/>
      <c r="K433" s="331"/>
      <c r="L433" s="331"/>
      <c r="M433" s="331"/>
      <c r="N433" s="331"/>
      <c r="O433" s="331"/>
      <c r="P433" s="331"/>
      <c r="Q433" s="331"/>
      <c r="R433" s="331"/>
      <c r="S433" s="331"/>
      <c r="T433" s="331"/>
      <c r="U433" s="331"/>
      <c r="V433" s="331"/>
      <c r="W433" s="331"/>
      <c r="X433" s="331"/>
      <c r="Y433" s="121"/>
    </row>
    <row r="434" spans="10:25" x14ac:dyDescent="0.2">
      <c r="J434" s="331"/>
      <c r="K434" s="331"/>
      <c r="L434" s="331"/>
      <c r="M434" s="331"/>
      <c r="N434" s="331"/>
      <c r="O434" s="331"/>
      <c r="P434" s="331"/>
      <c r="Q434" s="331"/>
      <c r="R434" s="331"/>
      <c r="S434" s="331"/>
      <c r="T434" s="331"/>
      <c r="U434" s="331"/>
      <c r="V434" s="331"/>
      <c r="W434" s="331"/>
      <c r="X434" s="331"/>
      <c r="Y434" s="121"/>
    </row>
    <row r="435" spans="10:25" x14ac:dyDescent="0.2">
      <c r="J435" s="331"/>
      <c r="K435" s="331"/>
      <c r="L435" s="121"/>
      <c r="M435" s="121"/>
      <c r="N435" s="121"/>
      <c r="O435" s="121"/>
      <c r="P435" s="121"/>
      <c r="Q435" s="121"/>
      <c r="R435" s="121"/>
      <c r="S435" s="121"/>
      <c r="T435" s="121"/>
      <c r="U435" s="121"/>
      <c r="V435" s="121"/>
      <c r="W435" s="121"/>
      <c r="X435" s="331"/>
      <c r="Y435" s="121"/>
    </row>
    <row r="436" spans="10:25" x14ac:dyDescent="0.2">
      <c r="J436" s="331"/>
      <c r="K436" s="331"/>
      <c r="X436" s="331"/>
      <c r="Y436" s="121"/>
    </row>
    <row r="437" spans="10:25" x14ac:dyDescent="0.2">
      <c r="X437" s="121"/>
      <c r="Y437" s="121"/>
    </row>
    <row r="438" spans="10:25" x14ac:dyDescent="0.2">
      <c r="Y438" s="121"/>
    </row>
    <row r="439" spans="10:25" x14ac:dyDescent="0.2">
      <c r="Y439" s="121"/>
    </row>
  </sheetData>
  <sheetProtection password="CC20" sheet="1" objects="1" scenario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A33" sqref="A33"/>
    </sheetView>
  </sheetViews>
  <sheetFormatPr defaultColWidth="9.140625" defaultRowHeight="12.75" x14ac:dyDescent="0.2"/>
  <cols>
    <col min="1" max="1" width="3.140625" style="154" customWidth="1"/>
    <col min="2" max="16" width="5.7109375" style="154" customWidth="1"/>
    <col min="17" max="17" width="6.85546875" style="154" customWidth="1"/>
    <col min="18" max="20" width="5.7109375" style="154" customWidth="1"/>
    <col min="21" max="16384" width="9.140625" style="154"/>
  </cols>
  <sheetData>
    <row r="1" spans="1:17" x14ac:dyDescent="0.2">
      <c r="A1" s="351"/>
      <c r="B1" s="154" t="s">
        <v>491</v>
      </c>
      <c r="D1" s="480">
        <f>__1_Bed</f>
        <v>0</v>
      </c>
      <c r="L1" s="154" t="s">
        <v>492</v>
      </c>
      <c r="M1" s="953">
        <f ca="1">TODAY()</f>
        <v>42751</v>
      </c>
      <c r="N1" s="954"/>
      <c r="O1" s="156">
        <f ca="1">NOW()</f>
        <v>42751.133235185189</v>
      </c>
      <c r="P1" s="156"/>
    </row>
    <row r="2" spans="1:17" ht="6.75" customHeight="1" x14ac:dyDescent="0.2"/>
    <row r="3" spans="1:17" x14ac:dyDescent="0.2">
      <c r="B3" s="157" t="str">
        <f>NeoGuiInfB!B10</f>
        <v>Medische Afspraken</v>
      </c>
      <c r="J3" s="154" t="s">
        <v>338</v>
      </c>
      <c r="M3" s="955">
        <f>__0_PatNum</f>
        <v>0</v>
      </c>
      <c r="N3" s="955"/>
      <c r="O3" s="158"/>
    </row>
    <row r="4" spans="1:17" x14ac:dyDescent="0.2">
      <c r="B4" s="157" t="str">
        <f>NeoGuiInfB!B11</f>
        <v>Afdeling Neonatologie (IC-HC-MC)</v>
      </c>
      <c r="J4" s="154" t="str">
        <f>NeoGuiInfB!G11</f>
        <v>Naam:</v>
      </c>
      <c r="M4" s="159" t="str">
        <f>NeoGuiInfB!I11</f>
        <v xml:space="preserve">,  </v>
      </c>
      <c r="N4" s="160"/>
      <c r="O4" s="158"/>
    </row>
    <row r="5" spans="1:17" x14ac:dyDescent="0.2">
      <c r="B5" s="157" t="str">
        <f>NeoGuiInfB!B12</f>
        <v>Divisie Obstetrie Neonatologie en Gynaecologie</v>
      </c>
      <c r="J5" s="154" t="str">
        <f>NeoGuiInfB!G12</f>
        <v>Geboortedatum:</v>
      </c>
      <c r="M5" s="956" t="e">
        <f>NeoGuiInfB!I12</f>
        <v>#REF!</v>
      </c>
      <c r="N5" s="956"/>
      <c r="O5" s="956"/>
      <c r="P5" s="956"/>
    </row>
    <row r="6" spans="1:17" ht="15" x14ac:dyDescent="0.2">
      <c r="A6" s="351"/>
      <c r="B6" s="161"/>
      <c r="C6" s="162"/>
      <c r="D6" s="162"/>
      <c r="E6" s="162"/>
      <c r="F6" s="162"/>
      <c r="G6" s="162"/>
      <c r="H6" s="162"/>
      <c r="I6" s="162"/>
      <c r="J6" s="154" t="str">
        <f ca="1">"Leeftijd: "&amp;Var_Neo_Dag&amp;" dag(-en)"</f>
        <v>Leeftijd: 41290 dag(-en)</v>
      </c>
      <c r="N6" s="162" t="s">
        <v>493</v>
      </c>
      <c r="O6" s="162" t="e">
        <f>NeoGuiInfB!H13&amp;" weken en "&amp;NeoGuiInfB!J13&amp;" dagen"</f>
        <v>#REF!</v>
      </c>
      <c r="Q6" s="162"/>
    </row>
    <row r="7" spans="1:17" ht="9" customHeight="1" x14ac:dyDescent="0.2">
      <c r="B7" s="163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5"/>
      <c r="P7" s="165"/>
      <c r="Q7" s="164"/>
    </row>
    <row r="8" spans="1:17" x14ac:dyDescent="0.2">
      <c r="P8" s="166" t="s">
        <v>494</v>
      </c>
      <c r="Q8" s="167"/>
    </row>
    <row r="9" spans="1:17" x14ac:dyDescent="0.2">
      <c r="B9" s="154" t="str">
        <f>NeoGuiInfB!B14</f>
        <v>Datum:</v>
      </c>
      <c r="D9" s="957" t="e">
        <f>NeoGuiInfB!C14</f>
        <v>#REF!</v>
      </c>
      <c r="E9" s="957"/>
      <c r="F9" s="954"/>
      <c r="I9" s="154" t="str">
        <f>NeoGuiInfB!G16</f>
        <v>Gewicht:</v>
      </c>
      <c r="K9" s="154" t="str">
        <f>NeoGuiInfB!H16</f>
        <v/>
      </c>
      <c r="P9" s="166" t="s">
        <v>495</v>
      </c>
      <c r="Q9" s="167"/>
    </row>
    <row r="10" spans="1:17" x14ac:dyDescent="0.2">
      <c r="B10" s="154" t="str">
        <f>NeoGuiInfB!B15</f>
        <v>Bed:</v>
      </c>
      <c r="F10" s="154" t="e">
        <f>Var_Neo_InfB_Arts</f>
        <v>#NAME?</v>
      </c>
      <c r="I10" s="958" t="str">
        <f ca="1">"Leeftijd: "&amp;NeoGuiInfB!$H$15</f>
        <v xml:space="preserve">Leeftijd: </v>
      </c>
      <c r="J10" s="954"/>
      <c r="K10" s="954"/>
      <c r="L10" s="954"/>
      <c r="M10" s="954"/>
      <c r="N10" s="954"/>
      <c r="O10" s="959"/>
      <c r="P10" s="166"/>
      <c r="Q10" s="167"/>
    </row>
    <row r="11" spans="1:17" x14ac:dyDescent="0.2">
      <c r="B11" s="164" t="s">
        <v>496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6"/>
      <c r="Q11" s="167"/>
    </row>
    <row r="12" spans="1:17" x14ac:dyDescent="0.2">
      <c r="P12" s="166"/>
      <c r="Q12" s="167"/>
    </row>
    <row r="13" spans="1:17" x14ac:dyDescent="0.2">
      <c r="B13" s="168" t="str">
        <f>NeoGuiInfB!B18</f>
        <v>Totale vochtintake</v>
      </c>
      <c r="C13" s="162"/>
      <c r="D13" s="162"/>
      <c r="E13" s="162"/>
      <c r="F13" s="169">
        <f ca="1">NeoGuiInfB!E18</f>
        <v>195</v>
      </c>
      <c r="G13" s="162" t="str">
        <f>NeoGuiInfB!F18</f>
        <v>ml/ kg/ 24 uur</v>
      </c>
      <c r="H13" s="162"/>
      <c r="I13" s="162"/>
      <c r="J13" s="154" t="str">
        <f>"= "&amp;NeoGuiInfB!K47&amp;" ml"</f>
        <v>= Advies ml</v>
      </c>
      <c r="P13" s="166"/>
      <c r="Q13" s="167"/>
    </row>
    <row r="14" spans="1:17" x14ac:dyDescent="0.2">
      <c r="B14" s="168"/>
      <c r="C14" s="162"/>
      <c r="D14" s="162"/>
      <c r="E14" s="162"/>
      <c r="F14" s="169"/>
      <c r="G14" s="162"/>
      <c r="H14" s="162"/>
      <c r="I14" s="162"/>
      <c r="P14" s="379"/>
      <c r="Q14" s="380"/>
    </row>
    <row r="15" spans="1:17" x14ac:dyDescent="0.2">
      <c r="B15" s="168"/>
      <c r="C15" s="162"/>
      <c r="D15" s="162"/>
      <c r="E15" s="162"/>
      <c r="F15" s="169"/>
      <c r="G15" s="162"/>
      <c r="H15" s="162"/>
      <c r="I15" s="162"/>
      <c r="J15" s="160" t="s">
        <v>920</v>
      </c>
      <c r="P15" s="379"/>
      <c r="Q15" s="380"/>
    </row>
    <row r="16" spans="1:17" x14ac:dyDescent="0.2">
      <c r="B16" s="157" t="str">
        <f>NeoGuiInfB!H21</f>
        <v>Voeding:</v>
      </c>
      <c r="E16" s="154" t="e">
        <f>INDEX(tbl_Neo_Pos,NeoGuiInfB!D14,1)</f>
        <v>#REF!</v>
      </c>
      <c r="I16" s="154" t="e">
        <f ca="1">IF(OR(J16&lt;&gt;0,J17&lt;&gt;0,J18&lt;&gt;0,J19&lt;&gt;0,J20&lt;&gt;0),"met","")</f>
        <v>#REF!</v>
      </c>
      <c r="J16" s="154" t="str">
        <f ca="1">IF(NeoGuiInfB!K52=0,"","BMF in MM")</f>
        <v>BMF in MM</v>
      </c>
      <c r="M16" s="160" t="str">
        <f ca="1">IF(J16&lt;&gt;0,NeoGuiInfB!K52,0)</f>
        <v/>
      </c>
      <c r="N16" s="154" t="str">
        <f ca="1">IF(M16&lt;&gt;0,"%","")</f>
        <v>%</v>
      </c>
      <c r="P16" s="379"/>
      <c r="Q16" s="380"/>
    </row>
    <row r="17" spans="1:17" x14ac:dyDescent="0.2">
      <c r="B17" s="170" t="str">
        <f>NeoGuiInfB!D21</f>
        <v>Hoeveelheid:</v>
      </c>
      <c r="E17" s="159">
        <f>NeoGuiInfB!$E$21</f>
        <v>4</v>
      </c>
      <c r="F17" s="154" t="str">
        <f>NeoGuiInfB!F21</f>
        <v>maal</v>
      </c>
      <c r="G17" s="160" t="str">
        <f>NeoGuiInfB!G21</f>
        <v>1 ml</v>
      </c>
      <c r="J17" s="154" t="e">
        <f>INDEX(tbl_Neo_ToevoegingenMMPrint,NeoGuiInfB!B53,1)</f>
        <v>#REF!</v>
      </c>
      <c r="M17" s="160" t="e">
        <f>IF(J17&lt;&gt;0,NeoGuiInfB!K53,0)</f>
        <v>#REF!</v>
      </c>
      <c r="N17" s="154" t="e">
        <f t="shared" ref="N17:N26" si="0">IF(M17&lt;&gt;0,"%","")</f>
        <v>#REF!</v>
      </c>
      <c r="P17" s="379"/>
      <c r="Q17" s="380"/>
    </row>
    <row r="18" spans="1:17" x14ac:dyDescent="0.2">
      <c r="C18" s="171" t="str">
        <f>IF(E18="","","en")</f>
        <v>en</v>
      </c>
      <c r="E18" s="159">
        <f>IF(NeoGuiInfB!G22&lt;&gt;"0 ml",NeoGuiInfB!$E$22,"")</f>
        <v>2</v>
      </c>
      <c r="F18" s="154" t="str">
        <f>IF(NeoGuiInfB!G22&lt;&gt;"0 ml",NeoGuiInfB!F22,"")</f>
        <v>maal</v>
      </c>
      <c r="G18" s="160" t="str">
        <f>IF(NeoGuiInfB!G22&lt;&gt;"0 ml",NeoGuiInfB!G22,"")</f>
        <v>2 ml</v>
      </c>
      <c r="J18" s="154" t="e">
        <f>INDEX(tbl_Neo_ToevoegingenMMPrint,NeoGuiInfB!B54,1)</f>
        <v>#REF!</v>
      </c>
      <c r="M18" s="160" t="e">
        <f>IF(J18&lt;&gt;0,NeoGuiInfB!K54,0)</f>
        <v>#REF!</v>
      </c>
      <c r="N18" s="154" t="e">
        <f t="shared" si="0"/>
        <v>#REF!</v>
      </c>
      <c r="P18" s="379"/>
      <c r="Q18" s="380"/>
    </row>
    <row r="19" spans="1:17" x14ac:dyDescent="0.2">
      <c r="J19" s="154" t="e">
        <f>INDEX(tbl_Neo_ToevoegingenMMPrint,NeoGuiInfB!B55,1)</f>
        <v>#REF!</v>
      </c>
      <c r="M19" s="160" t="e">
        <f>IF(J19&lt;&gt;0,NeoGuiInfB!K55,0)</f>
        <v>#REF!</v>
      </c>
      <c r="N19" s="154" t="e">
        <f t="shared" si="0"/>
        <v>#REF!</v>
      </c>
      <c r="P19" s="379"/>
      <c r="Q19" s="380"/>
    </row>
    <row r="20" spans="1:17" x14ac:dyDescent="0.2">
      <c r="B20" s="168"/>
      <c r="C20" s="162"/>
      <c r="D20" s="162"/>
      <c r="E20" s="162"/>
      <c r="F20" s="169"/>
      <c r="G20" s="162"/>
      <c r="H20" s="162"/>
      <c r="I20" s="162"/>
      <c r="J20" s="154" t="e">
        <f>INDEX(tbl_Neo_ToevoegingenMMPrint,NeoGuiInfB!B56,1)</f>
        <v>#REF!</v>
      </c>
      <c r="K20" s="162"/>
      <c r="L20" s="172"/>
      <c r="M20" s="160" t="e">
        <f>IF(J20&lt;&gt;0,NeoGuiInfB!K56,0)</f>
        <v>#REF!</v>
      </c>
      <c r="N20" s="154" t="e">
        <f t="shared" si="0"/>
        <v>#REF!</v>
      </c>
      <c r="P20" s="379"/>
      <c r="Q20" s="380"/>
    </row>
    <row r="21" spans="1:17" x14ac:dyDescent="0.2">
      <c r="B21" s="160"/>
      <c r="P21" s="166"/>
      <c r="Q21" s="167"/>
    </row>
    <row r="22" spans="1:17" x14ac:dyDescent="0.2">
      <c r="B22" s="160"/>
      <c r="I22" s="162"/>
      <c r="J22" s="160" t="s">
        <v>921</v>
      </c>
      <c r="P22" s="379"/>
      <c r="Q22" s="380"/>
    </row>
    <row r="23" spans="1:17" x14ac:dyDescent="0.2">
      <c r="B23" s="160"/>
      <c r="I23" s="154" t="e">
        <f>IF(OR(J23&lt;&gt;0,J24&lt;&gt;0,J25&lt;&gt;0,J26&lt;&gt;0),"met","")</f>
        <v>#REF!</v>
      </c>
      <c r="J23" s="154" t="e">
        <f>INDEX(tbl_Neo_ToevoegingenKVPrint,NeoGuiInfB!B58,1)</f>
        <v>#REF!</v>
      </c>
      <c r="M23" s="160" t="e">
        <f>IF(J23&lt;&gt;0,NeoGuiInfB!K58,0)</f>
        <v>#REF!</v>
      </c>
      <c r="N23" s="154" t="e">
        <f t="shared" si="0"/>
        <v>#REF!</v>
      </c>
      <c r="P23" s="379"/>
      <c r="Q23" s="380"/>
    </row>
    <row r="24" spans="1:17" x14ac:dyDescent="0.2">
      <c r="B24" s="160"/>
      <c r="J24" s="154" t="e">
        <f>INDEX(tbl_Neo_ToevoegingenKVPrint,NeoGuiInfB!B59,1)</f>
        <v>#REF!</v>
      </c>
      <c r="M24" s="160" t="e">
        <f>IF(J24&lt;&gt;0,NeoGuiInfB!K59,0)</f>
        <v>#REF!</v>
      </c>
      <c r="N24" s="154" t="e">
        <f t="shared" si="0"/>
        <v>#REF!</v>
      </c>
      <c r="P24" s="379"/>
      <c r="Q24" s="380"/>
    </row>
    <row r="25" spans="1:17" x14ac:dyDescent="0.2">
      <c r="J25" s="154" t="e">
        <f>INDEX(tbl_Neo_ToevoegingenKVPrint,NeoGuiInfB!B60,1)</f>
        <v>#REF!</v>
      </c>
      <c r="M25" s="160" t="e">
        <f>IF(J25&lt;&gt;0,NeoGuiInfB!K60,0)</f>
        <v>#REF!</v>
      </c>
      <c r="N25" s="154" t="e">
        <f t="shared" si="0"/>
        <v>#REF!</v>
      </c>
      <c r="P25" s="166"/>
      <c r="Q25" s="167"/>
    </row>
    <row r="26" spans="1:17" x14ac:dyDescent="0.2">
      <c r="J26" s="154" t="e">
        <f>INDEX(tbl_Neo_ToevoegingenKVPrint,NeoGuiInfB!B61,1)</f>
        <v>#REF!</v>
      </c>
      <c r="M26" s="160" t="e">
        <f>IF(J26&lt;&gt;0,NeoGuiInfB!K61,0)</f>
        <v>#REF!</v>
      </c>
      <c r="N26" s="154" t="e">
        <f t="shared" si="0"/>
        <v>#REF!</v>
      </c>
      <c r="P26" s="166"/>
      <c r="Q26" s="167"/>
    </row>
    <row r="27" spans="1:17" x14ac:dyDescent="0.2">
      <c r="P27" s="166"/>
      <c r="Q27" s="167"/>
    </row>
    <row r="28" spans="1:17" x14ac:dyDescent="0.2">
      <c r="B28" s="173" t="str">
        <f>IF(NeoGuiInfB!J14=1,"De voeding is extra","")</f>
        <v/>
      </c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74"/>
      <c r="Q28" s="175"/>
    </row>
    <row r="29" spans="1:17" x14ac:dyDescent="0.2">
      <c r="P29" s="166"/>
      <c r="Q29" s="167"/>
    </row>
    <row r="30" spans="1:17" x14ac:dyDescent="0.2">
      <c r="B30" s="157" t="str">
        <f>NeoGuiInfB!B28</f>
        <v>Infuus/parenterale voeding:</v>
      </c>
      <c r="G30" s="160">
        <f ca="1">NeoGuiInfB!E28</f>
        <v>-10</v>
      </c>
      <c r="H30" s="154" t="str">
        <f>NeoGuiInfB!F28</f>
        <v>ml/ 24 uur</v>
      </c>
      <c r="O30" s="167"/>
      <c r="P30" s="162"/>
      <c r="Q30" s="167"/>
    </row>
    <row r="31" spans="1:17" x14ac:dyDescent="0.2">
      <c r="O31" s="167"/>
      <c r="P31" s="176" t="s">
        <v>497</v>
      </c>
      <c r="Q31" s="167"/>
    </row>
    <row r="32" spans="1:17" ht="15.95" customHeight="1" x14ac:dyDescent="0.2">
      <c r="A32" s="154">
        <v>1</v>
      </c>
      <c r="B32" s="177" t="str">
        <f>IF(Var_Neo_InfB_Cont_ArtLijn&gt;0,NeoGuiInfB!B30,"")</f>
        <v>Arterielijn: 12 ml NaCl 0,45% + hep. (5EH/ml)</v>
      </c>
      <c r="C32" s="177"/>
      <c r="D32" s="177"/>
      <c r="E32" s="177"/>
      <c r="F32" s="177"/>
      <c r="G32" s="177"/>
      <c r="H32" s="177"/>
      <c r="I32" s="177"/>
      <c r="J32" s="177"/>
      <c r="K32" s="178" t="str">
        <f>IF(NeoGuiInfB!G30&lt;&gt; "0 ml/uur",NeoGuiInfB!G30,"")</f>
        <v>1 ml/uur</v>
      </c>
      <c r="L32" s="177"/>
      <c r="M32" s="177"/>
      <c r="N32" s="177"/>
      <c r="O32" s="179"/>
      <c r="P32" s="180" t="str">
        <f>IF(B32="","",IF(NeoGuiInfB!J18,"ja","nee"))</f>
        <v>nee</v>
      </c>
      <c r="Q32" s="181"/>
    </row>
    <row r="33" spans="1:17" ht="15.95" customHeight="1" x14ac:dyDescent="0.2">
      <c r="A33" s="154">
        <v>2</v>
      </c>
      <c r="B33" s="182" t="e">
        <f>INDEX(Tbl_Neo_MedIV,NeoGuiInfB!B20,1)</f>
        <v>#VALUE!</v>
      </c>
      <c r="C33" s="177"/>
      <c r="D33" s="182"/>
      <c r="E33" s="183" t="str">
        <f>NeoGuiInfB!C32</f>
        <v>200 mg</v>
      </c>
      <c r="F33" s="182"/>
      <c r="G33" s="184" t="str">
        <f>NeoGuiInfB!D32</f>
        <v>in 50 ml</v>
      </c>
      <c r="H33" s="182"/>
      <c r="I33" s="185" t="e">
        <f>INDEX(Tbl_Neo_OplVlst,NeoGuiInfB!E20,1)</f>
        <v>#VALUE!</v>
      </c>
      <c r="J33" s="182"/>
      <c r="K33" s="183" t="str">
        <f>NeoGuiInfB!G32</f>
        <v>1 ml/uur</v>
      </c>
      <c r="L33" s="182"/>
      <c r="M33" s="186" t="str">
        <f>NeoGuiInfB!H32</f>
        <v/>
      </c>
      <c r="N33" s="187" t="e">
        <f>INDEX(tbl_Neo_Dose,NeoGuiInfB!G20,1)</f>
        <v>#REF!</v>
      </c>
      <c r="O33" s="188"/>
      <c r="P33" s="185" t="e">
        <f>IF(B33&lt;&gt;0,IF(NeoGuiInfB!J20,"ja","nee"),"")</f>
        <v>#VALUE!</v>
      </c>
      <c r="Q33" s="189"/>
    </row>
    <row r="34" spans="1:17" ht="15.95" customHeight="1" x14ac:dyDescent="0.2">
      <c r="A34" s="154">
        <v>3</v>
      </c>
      <c r="B34" s="182" t="e">
        <f>INDEX(Tbl_Neo_MedIV,NeoGuiInfB!B21,1)</f>
        <v>#VALUE!</v>
      </c>
      <c r="C34" s="177"/>
      <c r="D34" s="182"/>
      <c r="E34" s="183" t="str">
        <f>NeoGuiInfB!C33</f>
        <v/>
      </c>
      <c r="F34" s="182"/>
      <c r="G34" s="184" t="str">
        <f>NeoGuiInfB!D33</f>
        <v/>
      </c>
      <c r="H34" s="182"/>
      <c r="I34" s="185" t="str">
        <f>INDEX(Tbl_Neo_OplVlst,NeoGuiInfB!E21,1)</f>
        <v>glucose 15%</v>
      </c>
      <c r="J34" s="182"/>
      <c r="K34" s="183" t="str">
        <f>NeoGuiInfB!G33</f>
        <v/>
      </c>
      <c r="L34" s="182"/>
      <c r="M34" s="186" t="str">
        <f>NeoGuiInfB!H33</f>
        <v/>
      </c>
      <c r="N34" s="187" t="e">
        <f>INDEX(tbl_Neo_Dose,NeoGuiInfB!G21,1)</f>
        <v>#REF!</v>
      </c>
      <c r="O34" s="188"/>
      <c r="P34" s="185" t="e">
        <f>IF(B34&lt;&gt;0,IF(NeoGuiInfB!J21,"ja","nee"),"")</f>
        <v>#VALUE!</v>
      </c>
      <c r="Q34" s="181"/>
    </row>
    <row r="35" spans="1:17" ht="15.95" customHeight="1" x14ac:dyDescent="0.2">
      <c r="A35" s="154">
        <v>4</v>
      </c>
      <c r="B35" s="182" t="e">
        <f>INDEX(Tbl_Neo_MedIV,NeoGuiInfB!B22,1)</f>
        <v>#VALUE!</v>
      </c>
      <c r="C35" s="177"/>
      <c r="D35" s="182"/>
      <c r="E35" s="183" t="str">
        <f>NeoGuiInfB!C34</f>
        <v/>
      </c>
      <c r="F35" s="182"/>
      <c r="G35" s="184" t="str">
        <f>NeoGuiInfB!D34</f>
        <v/>
      </c>
      <c r="H35" s="182"/>
      <c r="I35" s="185" t="str">
        <f>INDEX(Tbl_Neo_OplVlst,NeoGuiInfB!E22,1)</f>
        <v>glucose 5%</v>
      </c>
      <c r="J35" s="182"/>
      <c r="K35" s="183" t="str">
        <f>NeoGuiInfB!G34</f>
        <v/>
      </c>
      <c r="L35" s="182"/>
      <c r="M35" s="186" t="str">
        <f>NeoGuiInfB!H34</f>
        <v/>
      </c>
      <c r="N35" s="187" t="e">
        <f>INDEX(tbl_Neo_Dose,NeoGuiInfB!G22,1)</f>
        <v>#REF!</v>
      </c>
      <c r="O35" s="188"/>
      <c r="P35" s="185" t="e">
        <f>IF(B35&lt;&gt;0,IF(NeoGuiInfB!J22,"ja","nee"),"")</f>
        <v>#VALUE!</v>
      </c>
      <c r="Q35" s="189"/>
    </row>
    <row r="36" spans="1:17" ht="15.95" customHeight="1" x14ac:dyDescent="0.2">
      <c r="A36" s="154">
        <v>5</v>
      </c>
      <c r="B36" s="182" t="e">
        <f>INDEX(Tbl_Neo_MedIV,NeoGuiInfB!B23,1)</f>
        <v>#VALUE!</v>
      </c>
      <c r="C36" s="177"/>
      <c r="D36" s="182"/>
      <c r="E36" s="183" t="str">
        <f>NeoGuiInfB!C35</f>
        <v/>
      </c>
      <c r="F36" s="182"/>
      <c r="G36" s="184" t="str">
        <f>NeoGuiInfB!D35</f>
        <v/>
      </c>
      <c r="H36" s="182"/>
      <c r="I36" s="185" t="e">
        <f>INDEX(Tbl_Neo_OplVlst,NeoGuiInfB!E23,1)</f>
        <v>#VALUE!</v>
      </c>
      <c r="J36" s="182"/>
      <c r="K36" s="183" t="str">
        <f>NeoGuiInfB!G35</f>
        <v/>
      </c>
      <c r="L36" s="182"/>
      <c r="M36" s="186" t="str">
        <f>NeoGuiInfB!H35</f>
        <v/>
      </c>
      <c r="N36" s="187" t="e">
        <f>INDEX(tbl_Neo_Dose,NeoGuiInfB!G23,1)</f>
        <v>#REF!</v>
      </c>
      <c r="O36" s="188"/>
      <c r="P36" s="185" t="e">
        <f>IF(B36&lt;&gt;0,IF(NeoGuiInfB!J23,"ja","nee"),"")</f>
        <v>#VALUE!</v>
      </c>
      <c r="Q36" s="181"/>
    </row>
    <row r="37" spans="1:17" ht="15.95" customHeight="1" x14ac:dyDescent="0.2">
      <c r="A37" s="154">
        <v>6</v>
      </c>
      <c r="B37" s="182" t="e">
        <f>INDEX(Tbl_Neo_MedIV,NeoGuiInfB!B24,1)</f>
        <v>#VALUE!</v>
      </c>
      <c r="C37" s="177"/>
      <c r="D37" s="182"/>
      <c r="E37" s="183" t="str">
        <f>NeoGuiInfB!C36</f>
        <v/>
      </c>
      <c r="F37" s="182"/>
      <c r="G37" s="184" t="str">
        <f>NeoGuiInfB!D36</f>
        <v/>
      </c>
      <c r="H37" s="182"/>
      <c r="I37" s="185" t="e">
        <f>INDEX(Tbl_Neo_OplVlst,NeoGuiInfB!E24,1)</f>
        <v>#VALUE!</v>
      </c>
      <c r="J37" s="182"/>
      <c r="K37" s="183" t="str">
        <f>NeoGuiInfB!G36</f>
        <v/>
      </c>
      <c r="L37" s="182"/>
      <c r="M37" s="186" t="str">
        <f>NeoGuiInfB!H36</f>
        <v/>
      </c>
      <c r="N37" s="187" t="e">
        <f>INDEX(tbl_Neo_Dose,NeoGuiInfB!G24,1)</f>
        <v>#REF!</v>
      </c>
      <c r="O37" s="188"/>
      <c r="P37" s="185" t="e">
        <f>IF(B37&lt;&gt;0,IF(NeoGuiInfB!J24,"ja","nee"),"")</f>
        <v>#VALUE!</v>
      </c>
      <c r="Q37" s="189"/>
    </row>
    <row r="38" spans="1:17" ht="15.95" customHeight="1" x14ac:dyDescent="0.2">
      <c r="A38" s="154">
        <v>7</v>
      </c>
      <c r="B38" s="182" t="e">
        <f>INDEX(Tbl_Neo_MedIV,NeoGuiInfB!B25,1)</f>
        <v>#VALUE!</v>
      </c>
      <c r="C38" s="177"/>
      <c r="D38" s="182"/>
      <c r="E38" s="183" t="str">
        <f>NeoGuiInfB!C37</f>
        <v/>
      </c>
      <c r="F38" s="182"/>
      <c r="G38" s="184" t="str">
        <f>NeoGuiInfB!D37</f>
        <v/>
      </c>
      <c r="H38" s="182"/>
      <c r="I38" s="185" t="e">
        <f>INDEX(Tbl_Neo_OplVlst,NeoGuiInfB!E25,1)</f>
        <v>#VALUE!</v>
      </c>
      <c r="J38" s="182"/>
      <c r="K38" s="183" t="str">
        <f>NeoGuiInfB!G37</f>
        <v/>
      </c>
      <c r="L38" s="182"/>
      <c r="M38" s="186" t="str">
        <f>NeoGuiInfB!H37</f>
        <v/>
      </c>
      <c r="N38" s="187" t="e">
        <f>INDEX(tbl_Neo_Dose,NeoGuiInfB!G25,1)</f>
        <v>#REF!</v>
      </c>
      <c r="O38" s="188"/>
      <c r="P38" s="185" t="e">
        <f>IF(B38&lt;&gt;0,IF(NeoGuiInfB!J25,"ja","nee"),"")</f>
        <v>#VALUE!</v>
      </c>
      <c r="Q38" s="181"/>
    </row>
    <row r="39" spans="1:17" ht="15.95" customHeight="1" x14ac:dyDescent="0.2">
      <c r="A39" s="154">
        <v>8</v>
      </c>
      <c r="B39" s="182" t="e">
        <f>INDEX(Tbl_Neo_MedIV,NeoGuiInfB!B26,1)</f>
        <v>#VALUE!</v>
      </c>
      <c r="C39" s="177"/>
      <c r="D39" s="182"/>
      <c r="E39" s="183" t="str">
        <f>NeoGuiInfB!C38</f>
        <v/>
      </c>
      <c r="F39" s="182"/>
      <c r="G39" s="184" t="str">
        <f>NeoGuiInfB!D38</f>
        <v/>
      </c>
      <c r="H39" s="182"/>
      <c r="I39" s="185" t="e">
        <f>INDEX(Tbl_Neo_OplVlst,NeoGuiInfB!E26,1)</f>
        <v>#VALUE!</v>
      </c>
      <c r="J39" s="182"/>
      <c r="K39" s="183" t="str">
        <f>NeoGuiInfB!G38</f>
        <v/>
      </c>
      <c r="L39" s="182"/>
      <c r="M39" s="186" t="str">
        <f>NeoGuiInfB!H38</f>
        <v/>
      </c>
      <c r="N39" s="187" t="e">
        <f>INDEX(tbl_Neo_Dose,NeoGuiInfB!G26,1)</f>
        <v>#REF!</v>
      </c>
      <c r="O39" s="188"/>
      <c r="P39" s="185" t="e">
        <f>IF(B39&lt;&gt;0,IF(NeoGuiInfB!J26,"ja","nee"),"")</f>
        <v>#VALUE!</v>
      </c>
      <c r="Q39" s="189"/>
    </row>
    <row r="40" spans="1:17" ht="15.95" customHeight="1" x14ac:dyDescent="0.2">
      <c r="A40" s="154">
        <v>9</v>
      </c>
      <c r="B40" s="182" t="e">
        <f>INDEX(Tbl_Neo_MedIV,NeoGuiInfB!B27,1)</f>
        <v>#VALUE!</v>
      </c>
      <c r="C40" s="177"/>
      <c r="D40" s="182"/>
      <c r="E40" s="183" t="str">
        <f>NeoGuiInfB!C39</f>
        <v/>
      </c>
      <c r="F40" s="182"/>
      <c r="G40" s="184" t="str">
        <f>NeoGuiInfB!D39</f>
        <v/>
      </c>
      <c r="H40" s="182"/>
      <c r="I40" s="185" t="e">
        <f>INDEX(Tbl_Neo_OplVlst,NeoGuiInfB!E27,1)</f>
        <v>#VALUE!</v>
      </c>
      <c r="J40" s="182"/>
      <c r="K40" s="183" t="str">
        <f>NeoGuiInfB!G39</f>
        <v/>
      </c>
      <c r="L40" s="182"/>
      <c r="M40" s="186" t="str">
        <f>NeoGuiInfB!H39</f>
        <v/>
      </c>
      <c r="N40" s="187" t="e">
        <f>INDEX(tbl_Neo_Dose,NeoGuiInfB!G27,1)</f>
        <v>#REF!</v>
      </c>
      <c r="O40" s="188"/>
      <c r="P40" s="185" t="e">
        <f>IF(B40&lt;&gt;0,IF(NeoGuiInfB!J27,"ja","nee"),"")</f>
        <v>#VALUE!</v>
      </c>
      <c r="Q40" s="181"/>
    </row>
    <row r="41" spans="1:17" ht="15.95" customHeight="1" x14ac:dyDescent="0.2">
      <c r="A41" s="154">
        <v>10</v>
      </c>
      <c r="B41" s="182" t="e">
        <f>INDEX(Tbl_Neo_MedIV,NeoGuiInfB!B28,1)</f>
        <v>#VALUE!</v>
      </c>
      <c r="C41" s="177"/>
      <c r="D41" s="182"/>
      <c r="E41" s="183" t="str">
        <f>NeoGuiInfB!C40</f>
        <v/>
      </c>
      <c r="F41" s="182"/>
      <c r="G41" s="184" t="str">
        <f>NeoGuiInfB!D40</f>
        <v/>
      </c>
      <c r="H41" s="182"/>
      <c r="I41" s="185" t="e">
        <f ca="1">INDEX(Tbl_Neo_OplVlst,NeoGuiInfB!E28,1)</f>
        <v>#VALUE!</v>
      </c>
      <c r="J41" s="182"/>
      <c r="K41" s="183" t="str">
        <f>NeoGuiInfB!G40</f>
        <v/>
      </c>
      <c r="L41" s="182"/>
      <c r="M41" s="186" t="str">
        <f>NeoGuiInfB!H40</f>
        <v/>
      </c>
      <c r="N41" s="187" t="e">
        <f>INDEX(tbl_Neo_Dose,NeoGuiInfB!G28,1)</f>
        <v>#REF!</v>
      </c>
      <c r="O41" s="188"/>
      <c r="P41" s="185" t="e">
        <f>IF(B41&lt;&gt;0,IF(NeoGuiInfB!J28,"ja","nee"),"")</f>
        <v>#VALUE!</v>
      </c>
      <c r="Q41" s="189"/>
    </row>
    <row r="42" spans="1:17" ht="15.95" customHeight="1" x14ac:dyDescent="0.2">
      <c r="A42" s="154">
        <v>11</v>
      </c>
      <c r="B42" s="182" t="str">
        <f>IF(I42&lt;&gt;"",NeoGuiInfB!B42,"")</f>
        <v/>
      </c>
      <c r="C42" s="177"/>
      <c r="D42" s="182"/>
      <c r="E42" s="183"/>
      <c r="F42" s="182"/>
      <c r="G42" s="183"/>
      <c r="H42" s="182"/>
      <c r="I42" s="185" t="str">
        <f>IFERROR(INDEX(Tbl_Neo_OplVlst,NeoGuiInfB!E29,1),"")</f>
        <v/>
      </c>
      <c r="J42" s="182"/>
      <c r="K42" s="183" t="str">
        <f>NeoGuiInfB!G42</f>
        <v>0.2 ml/uur</v>
      </c>
      <c r="L42" s="182"/>
      <c r="M42" s="186"/>
      <c r="N42" s="182"/>
      <c r="O42" s="188"/>
      <c r="P42" s="185" t="str">
        <f>IF(B42&lt;&gt;"",IF(NeoGuiInfB!J29,"ja","nee"),"")</f>
        <v/>
      </c>
      <c r="Q42" s="189"/>
    </row>
    <row r="43" spans="1:17" ht="15.95" customHeight="1" x14ac:dyDescent="0.2">
      <c r="A43" s="154">
        <v>12</v>
      </c>
      <c r="B43" s="182" t="str">
        <f>IF(I43&lt;&gt;"",NeoGuiInfB!B43,"")</f>
        <v/>
      </c>
      <c r="C43" s="177"/>
      <c r="D43" s="182"/>
      <c r="E43" s="183"/>
      <c r="F43" s="182"/>
      <c r="G43" s="183"/>
      <c r="H43" s="182"/>
      <c r="I43" s="185" t="str">
        <f>IFERROR(INDEX(Tbl_Neo_OplVlst,NeoGuiInfB!E30,1),"")</f>
        <v/>
      </c>
      <c r="J43" s="182"/>
      <c r="K43" s="183" t="str">
        <f>NeoGuiInfB!G43</f>
        <v>0.3 ml/uur</v>
      </c>
      <c r="L43" s="182"/>
      <c r="M43" s="186"/>
      <c r="N43" s="182"/>
      <c r="O43" s="188"/>
      <c r="P43" s="185" t="str">
        <f>IF(B43&lt;&gt;"",IF(NeoGuiInfB!J30,"ja","nee"),"")</f>
        <v/>
      </c>
      <c r="Q43" s="189"/>
    </row>
    <row r="44" spans="1:17" ht="15.95" customHeight="1" x14ac:dyDescent="0.2">
      <c r="A44" s="154">
        <v>13</v>
      </c>
      <c r="B44" s="182" t="str">
        <f>IF(I44&lt;&gt;"",NeoGuiInfB!B44,"")</f>
        <v/>
      </c>
      <c r="C44" s="177"/>
      <c r="D44" s="182"/>
      <c r="E44" s="183"/>
      <c r="F44" s="182"/>
      <c r="G44" s="183"/>
      <c r="H44" s="182"/>
      <c r="I44" s="185" t="str">
        <f>IFERROR(INDEX(Tbl_Neo_OplVlst,NeoGuiInfB!E31,1),"")</f>
        <v/>
      </c>
      <c r="J44" s="182"/>
      <c r="K44" s="183" t="str">
        <f>NeoGuiInfB!G44</f>
        <v>0.2 ml/uur</v>
      </c>
      <c r="L44" s="182"/>
      <c r="M44" s="182"/>
      <c r="N44" s="182"/>
      <c r="O44" s="188"/>
      <c r="P44" s="185" t="str">
        <f>IF(B44&lt;&gt;"",IF(NeoGuiInfB!J31,"ja","nee"),"")</f>
        <v/>
      </c>
      <c r="Q44" s="189"/>
    </row>
    <row r="45" spans="1:17" ht="15.95" customHeight="1" x14ac:dyDescent="0.2">
      <c r="A45" s="154">
        <v>14</v>
      </c>
      <c r="B45" s="182" t="str">
        <f>NeoGuiInfB!B45</f>
        <v/>
      </c>
      <c r="C45" s="177"/>
      <c r="D45" s="182"/>
      <c r="E45" s="183"/>
      <c r="F45" s="182"/>
      <c r="G45" s="183"/>
      <c r="H45" s="182"/>
      <c r="I45" s="182"/>
      <c r="J45" s="182"/>
      <c r="K45" s="183"/>
      <c r="L45" s="182"/>
      <c r="M45" s="182"/>
      <c r="N45" s="182"/>
      <c r="O45" s="188"/>
      <c r="P45" s="182"/>
      <c r="Q45" s="189"/>
    </row>
    <row r="46" spans="1:17" ht="15.95" customHeight="1" x14ac:dyDescent="0.2">
      <c r="A46" s="154">
        <v>15</v>
      </c>
      <c r="B46" s="182" t="str">
        <f>NeoGuiInfB!B46</f>
        <v/>
      </c>
      <c r="C46" s="177"/>
      <c r="D46" s="182"/>
      <c r="E46" s="183"/>
      <c r="F46" s="182"/>
      <c r="G46" s="183"/>
      <c r="H46" s="182"/>
      <c r="I46" s="182"/>
      <c r="J46" s="182"/>
      <c r="K46" s="183"/>
      <c r="L46" s="182"/>
      <c r="M46" s="182"/>
      <c r="N46" s="182"/>
      <c r="O46" s="188"/>
      <c r="P46" s="182"/>
      <c r="Q46" s="189"/>
    </row>
    <row r="47" spans="1:17" ht="15.75" customHeight="1" x14ac:dyDescent="0.2">
      <c r="A47" s="154">
        <v>16</v>
      </c>
      <c r="B47" s="182">
        <f>NeoGuiInfB!B48</f>
        <v>0</v>
      </c>
      <c r="C47" s="177"/>
      <c r="D47" s="182"/>
      <c r="E47" s="183"/>
      <c r="F47" s="182"/>
      <c r="G47" s="183" t="str">
        <f ca="1">NeoGuiInfB!E48</f>
        <v>1 ml</v>
      </c>
      <c r="H47" s="182"/>
      <c r="I47" s="182"/>
      <c r="J47" s="182"/>
      <c r="K47" s="183"/>
      <c r="L47" s="182"/>
      <c r="M47" s="182"/>
      <c r="N47" s="182"/>
      <c r="O47" s="188"/>
      <c r="P47" s="182"/>
      <c r="Q47" s="181"/>
    </row>
    <row r="48" spans="1:17" x14ac:dyDescent="0.2">
      <c r="O48" s="167"/>
      <c r="P48" s="162"/>
      <c r="Q48" s="167"/>
    </row>
    <row r="49" spans="2:17" x14ac:dyDescent="0.2">
      <c r="B49" s="157" t="str">
        <f>NeoGuiInfB!B51</f>
        <v>Samenstelling</v>
      </c>
      <c r="F49" s="154" t="s">
        <v>498</v>
      </c>
      <c r="I49" s="154" t="s">
        <v>499</v>
      </c>
      <c r="L49" s="154" t="s">
        <v>500</v>
      </c>
      <c r="P49" s="166"/>
      <c r="Q49" s="167"/>
    </row>
    <row r="50" spans="2:17" x14ac:dyDescent="0.2">
      <c r="F50" s="190" t="s">
        <v>501</v>
      </c>
      <c r="G50" s="191"/>
      <c r="H50" s="192"/>
      <c r="I50" s="193" t="s">
        <v>502</v>
      </c>
      <c r="J50" s="191"/>
      <c r="K50" s="194"/>
      <c r="L50" s="190" t="s">
        <v>502</v>
      </c>
      <c r="M50" s="191"/>
      <c r="N50" s="194"/>
      <c r="P50" s="166"/>
      <c r="Q50" s="167"/>
    </row>
    <row r="51" spans="2:17" x14ac:dyDescent="0.2">
      <c r="B51" s="193" t="str">
        <f>NeoGuiInfB!B52</f>
        <v>NaCl 2,9%</v>
      </c>
      <c r="C51" s="195"/>
      <c r="D51" s="195"/>
      <c r="E51" s="192"/>
      <c r="F51" s="196" t="str">
        <f ca="1">NeoGuiInfB!E52</f>
        <v>3 ml</v>
      </c>
      <c r="G51" s="197"/>
      <c r="H51" s="198"/>
      <c r="I51" s="196"/>
      <c r="J51" s="197"/>
      <c r="K51" s="198"/>
      <c r="L51" s="196" t="str">
        <f>NeoGuiInfB!I52</f>
        <v/>
      </c>
      <c r="M51" s="197"/>
      <c r="N51" s="198"/>
      <c r="P51" s="199"/>
      <c r="Q51" s="181"/>
    </row>
    <row r="52" spans="2:17" x14ac:dyDescent="0.2">
      <c r="B52" s="193" t="str">
        <f>NeoGuiInfB!B53</f>
        <v>Kacetaat</v>
      </c>
      <c r="C52" s="195"/>
      <c r="D52" s="195"/>
      <c r="E52" s="192"/>
      <c r="F52" s="196" t="str">
        <f ca="1">NeoGuiInfB!E53</f>
        <v>1 ml</v>
      </c>
      <c r="G52" s="197"/>
      <c r="H52" s="198"/>
      <c r="I52" s="196"/>
      <c r="J52" s="197"/>
      <c r="K52" s="198"/>
      <c r="L52" s="196" t="str">
        <f>NeoGuiInfB!I53</f>
        <v/>
      </c>
      <c r="M52" s="197"/>
      <c r="N52" s="198"/>
      <c r="P52" s="200"/>
      <c r="Q52" s="189"/>
    </row>
    <row r="53" spans="2:17" x14ac:dyDescent="0.2">
      <c r="B53" s="193" t="str">
        <f>NeoGuiInfB!B54</f>
        <v>CaCl2</v>
      </c>
      <c r="C53" s="195"/>
      <c r="D53" s="195"/>
      <c r="E53" s="192"/>
      <c r="F53" s="196" t="str">
        <f ca="1">NeoGuiInfB!E54</f>
        <v>1 ml</v>
      </c>
      <c r="G53" s="197"/>
      <c r="H53" s="198"/>
      <c r="I53" s="196"/>
      <c r="J53" s="197"/>
      <c r="K53" s="198"/>
      <c r="L53" s="196"/>
      <c r="M53" s="197"/>
      <c r="N53" s="198"/>
      <c r="P53" s="199"/>
      <c r="Q53" s="181"/>
    </row>
    <row r="54" spans="2:17" x14ac:dyDescent="0.2">
      <c r="B54" s="193" t="str">
        <f>NeoGuiInfB!B55</f>
        <v>MgCl2</v>
      </c>
      <c r="C54" s="195"/>
      <c r="D54" s="195"/>
      <c r="E54" s="192"/>
      <c r="F54" s="196" t="str">
        <f ca="1">NeoGuiInfB!E55</f>
        <v>1 ml</v>
      </c>
      <c r="G54" s="197"/>
      <c r="H54" s="198"/>
      <c r="I54" s="196"/>
      <c r="J54" s="197"/>
      <c r="K54" s="198"/>
      <c r="L54" s="196"/>
      <c r="M54" s="197"/>
      <c r="N54" s="198"/>
      <c r="P54" s="200"/>
      <c r="Q54" s="189"/>
    </row>
    <row r="55" spans="2:17" x14ac:dyDescent="0.2">
      <c r="B55" s="193" t="str">
        <f>NeoGuiInfB!B56</f>
        <v>Soluvit</v>
      </c>
      <c r="C55" s="195"/>
      <c r="D55" s="195"/>
      <c r="E55" s="192"/>
      <c r="F55" s="196" t="str">
        <f ca="1">NeoGuiInfB!E56</f>
        <v>1 ml</v>
      </c>
      <c r="G55" s="197"/>
      <c r="H55" s="198"/>
      <c r="I55" s="196"/>
      <c r="J55" s="197"/>
      <c r="K55" s="198"/>
      <c r="L55" s="196"/>
      <c r="M55" s="197"/>
      <c r="N55" s="198"/>
      <c r="P55" s="199"/>
      <c r="Q55" s="181"/>
    </row>
    <row r="56" spans="2:17" x14ac:dyDescent="0.2">
      <c r="B56" s="193" t="str">
        <f>NeoGuiInfB!B57</f>
        <v>Primene</v>
      </c>
      <c r="C56" s="195"/>
      <c r="D56" s="195"/>
      <c r="E56" s="192"/>
      <c r="F56" s="196" t="str">
        <f ca="1">NeoGuiInfB!E57</f>
        <v>1 ml</v>
      </c>
      <c r="G56" s="197"/>
      <c r="H56" s="198"/>
      <c r="I56" s="196"/>
      <c r="J56" s="197"/>
      <c r="K56" s="198"/>
      <c r="L56" s="196"/>
      <c r="M56" s="197"/>
      <c r="N56" s="198"/>
      <c r="P56" s="200"/>
      <c r="Q56" s="189"/>
    </row>
    <row r="57" spans="2:17" x14ac:dyDescent="0.2">
      <c r="B57" s="193" t="str">
        <f>NeoGuiInfB!B58</f>
        <v>NICU-mix</v>
      </c>
      <c r="C57" s="195"/>
      <c r="D57" s="195"/>
      <c r="E57" s="192"/>
      <c r="F57" s="196"/>
      <c r="G57" s="197"/>
      <c r="H57" s="198"/>
      <c r="I57" s="196" t="str">
        <f>NeoGuiInfB!G58</f>
        <v/>
      </c>
      <c r="J57" s="197"/>
      <c r="K57" s="198"/>
      <c r="L57" s="196"/>
      <c r="M57" s="197"/>
      <c r="N57" s="198"/>
      <c r="P57" s="199"/>
      <c r="Q57" s="181"/>
    </row>
    <row r="58" spans="2:17" x14ac:dyDescent="0.2">
      <c r="B58" s="193" t="str">
        <f>NeoGuiInfB!B59</f>
        <v>Samenstelling B</v>
      </c>
      <c r="C58" s="195"/>
      <c r="D58" s="195"/>
      <c r="E58" s="192"/>
      <c r="F58" s="196"/>
      <c r="G58" s="197"/>
      <c r="H58" s="198"/>
      <c r="I58" s="196"/>
      <c r="J58" s="197"/>
      <c r="K58" s="198"/>
      <c r="L58" s="196" t="str">
        <f>NeoGuiInfB!I59</f>
        <v/>
      </c>
      <c r="M58" s="197"/>
      <c r="N58" s="198"/>
      <c r="P58" s="200"/>
      <c r="Q58" s="189"/>
    </row>
    <row r="59" spans="2:17" x14ac:dyDescent="0.2">
      <c r="B59" s="193">
        <f>INDEX(Tbl_Neo_OplVlst,NeoGuiInfB!D45+1,1)</f>
        <v>0</v>
      </c>
      <c r="C59" s="195"/>
      <c r="D59" s="195"/>
      <c r="E59" s="192"/>
      <c r="F59" s="196" t="str">
        <f ca="1">NeoGuiInfB!E60&amp;" "&amp;NeoGuiInfB!F60</f>
        <v>-83.8 ml</v>
      </c>
      <c r="G59" s="197"/>
      <c r="H59" s="198"/>
      <c r="I59" s="196" t="str">
        <f>NeoGuiInfB!G60&amp;" "&amp;NeoGuiInfB!H60</f>
        <v xml:space="preserve"> </v>
      </c>
      <c r="J59" s="197"/>
      <c r="K59" s="198"/>
      <c r="L59" s="196" t="str">
        <f>NeoGuiInfB!I60&amp;" "&amp;NeoGuiInfB!J60</f>
        <v xml:space="preserve"> </v>
      </c>
      <c r="M59" s="197"/>
      <c r="N59" s="198"/>
      <c r="P59" s="201"/>
      <c r="Q59" s="202"/>
    </row>
    <row r="60" spans="2:17" ht="18.75" customHeight="1" x14ac:dyDescent="0.2">
      <c r="B60" s="157" t="str">
        <f>NeoGuiInfB!B19</f>
        <v>Fototherapie</v>
      </c>
      <c r="E60" s="160" t="str">
        <f>IF(NeoGuiInfB!B15=1,"ja","nee")</f>
        <v>nee</v>
      </c>
      <c r="P60" s="162"/>
      <c r="Q60" s="162"/>
    </row>
    <row r="61" spans="2:17" x14ac:dyDescent="0.2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</row>
    <row r="62" spans="2:17" x14ac:dyDescent="0.2">
      <c r="B62" s="164" t="str">
        <f>NeoGuiInfB!B2</f>
        <v>Intake</v>
      </c>
      <c r="C62" s="164"/>
      <c r="D62" s="164" t="str">
        <f>NeoGuiInfB!C2</f>
        <v>Intraveneus</v>
      </c>
      <c r="E62" s="164"/>
      <c r="F62" s="164" t="str">
        <f>NeoGuiInfB!D2</f>
        <v>Oraal</v>
      </c>
      <c r="G62" s="164"/>
      <c r="H62" s="164" t="str">
        <f>NeoGuiInfB!E2</f>
        <v>Totaal</v>
      </c>
      <c r="I62" s="164"/>
      <c r="J62" s="164"/>
      <c r="K62" s="164" t="s">
        <v>348</v>
      </c>
      <c r="L62" s="164"/>
      <c r="M62" s="164" t="str">
        <f>NeoGuiInfB!H2</f>
        <v>Intraveneus</v>
      </c>
      <c r="N62" s="164"/>
      <c r="O62" s="164" t="str">
        <f>NeoGuiInfB!I2</f>
        <v>Oraal</v>
      </c>
      <c r="P62" s="164"/>
      <c r="Q62" s="164" t="str">
        <f>NeoGuiInfB!J2</f>
        <v>Totaal</v>
      </c>
    </row>
    <row r="63" spans="2:17" x14ac:dyDescent="0.2">
      <c r="B63" s="309" t="str">
        <f>NeoGuiInfB!B3</f>
        <v>Volume</v>
      </c>
      <c r="D63" s="830" t="e">
        <f ca="1">NeoGuiInfB!C3</f>
        <v>#DIV/0!</v>
      </c>
      <c r="E63" s="203"/>
      <c r="F63" s="203" t="e">
        <f>NeoGuiInfB!D3</f>
        <v>#DIV/0!</v>
      </c>
      <c r="H63" s="203" t="e">
        <f ca="1">NeoGuiInfB!E3</f>
        <v>#DIV/0!</v>
      </c>
      <c r="K63" s="154" t="str">
        <f>NeoGuiInfB!G3</f>
        <v>Natrium</v>
      </c>
      <c r="M63" s="203" t="e">
        <f ca="1">NeoGuiInfB!H3</f>
        <v>#DIV/0!</v>
      </c>
      <c r="N63" s="203"/>
      <c r="O63" s="203" t="e">
        <f>NeoGuiInfB!I3</f>
        <v>#DIV/0!</v>
      </c>
      <c r="Q63" s="203" t="e">
        <f ca="1">NeoGuiInfB!J3</f>
        <v>#DIV/0!</v>
      </c>
    </row>
    <row r="64" spans="2:17" x14ac:dyDescent="0.2">
      <c r="B64" s="154" t="str">
        <f>NeoGuiInfB!B4</f>
        <v>Eiwit</v>
      </c>
      <c r="D64" s="203" t="e">
        <f ca="1">NeoGuiInfB!C4</f>
        <v>#DIV/0!</v>
      </c>
      <c r="E64" s="203"/>
      <c r="F64" s="203" t="e">
        <f>NeoGuiInfB!D4</f>
        <v>#DIV/0!</v>
      </c>
      <c r="H64" s="203" t="e">
        <f ca="1">NeoGuiInfB!E4</f>
        <v>#DIV/0!</v>
      </c>
      <c r="K64" s="154" t="str">
        <f>NeoGuiInfB!G4</f>
        <v>Kalium</v>
      </c>
      <c r="M64" s="203" t="e">
        <f ca="1">NeoGuiInfB!H4</f>
        <v>#DIV/0!</v>
      </c>
      <c r="N64" s="203"/>
      <c r="O64" s="203" t="e">
        <f>NeoGuiInfB!I4</f>
        <v>#DIV/0!</v>
      </c>
      <c r="Q64" s="203" t="e">
        <f ca="1">NeoGuiInfB!J4</f>
        <v>#DIV/0!</v>
      </c>
    </row>
    <row r="65" spans="2:17" x14ac:dyDescent="0.2">
      <c r="B65" s="309" t="str">
        <f>NeoGuiInfB!B5</f>
        <v>Vet</v>
      </c>
      <c r="D65" s="203" t="e">
        <f ca="1">NeoGuiInfB!C5</f>
        <v>#DIV/0!</v>
      </c>
      <c r="E65" s="203"/>
      <c r="F65" s="203" t="e">
        <f>NeoGuiInfB!D5</f>
        <v>#DIV/0!</v>
      </c>
      <c r="H65" s="203" t="e">
        <f ca="1">NeoGuiInfB!E5</f>
        <v>#DIV/0!</v>
      </c>
      <c r="K65" s="154" t="str">
        <f>NeoGuiInfB!G5</f>
        <v>Calcium</v>
      </c>
      <c r="M65" s="203" t="e">
        <f ca="1">NeoGuiInfB!H5</f>
        <v>#DIV/0!</v>
      </c>
      <c r="N65" s="203"/>
      <c r="O65" s="203" t="e">
        <f>NeoGuiInfB!I5</f>
        <v>#DIV/0!</v>
      </c>
      <c r="Q65" s="203" t="e">
        <f ca="1">NeoGuiInfB!J5</f>
        <v>#DIV/0!</v>
      </c>
    </row>
    <row r="66" spans="2:17" x14ac:dyDescent="0.2">
      <c r="B66" s="305" t="str">
        <f>NeoGuiInfB!B6</f>
        <v>Glucose</v>
      </c>
      <c r="D66" s="203" t="e">
        <f ca="1">NeoGuiInfB!C6</f>
        <v>#DIV/0!</v>
      </c>
      <c r="E66" s="203"/>
      <c r="F66" s="203" t="e">
        <f>NeoGuiInfB!D6</f>
        <v>#DIV/0!</v>
      </c>
      <c r="H66" s="203" t="e">
        <f ca="1">NeoGuiInfB!E6</f>
        <v>#DIV/0!</v>
      </c>
      <c r="K66" s="154" t="str">
        <f>NeoGuiInfB!G6</f>
        <v>Magnesium</v>
      </c>
      <c r="M66" s="203" t="e">
        <f ca="1">NeoGuiInfB!H6</f>
        <v>#DIV/0!</v>
      </c>
      <c r="N66" s="203"/>
      <c r="O66" s="203" t="e">
        <f>NeoGuiInfB!I6</f>
        <v>#DIV/0!</v>
      </c>
      <c r="Q66" s="203" t="e">
        <f ca="1">NeoGuiInfB!J6</f>
        <v>#DIV/0!</v>
      </c>
    </row>
    <row r="67" spans="2:17" x14ac:dyDescent="0.2">
      <c r="B67" s="154" t="str">
        <f>NeoGuiInfB!B7</f>
        <v>Energie</v>
      </c>
      <c r="D67" s="203" t="e">
        <f ca="1">NeoGuiInfB!C7</f>
        <v>#DIV/0!</v>
      </c>
      <c r="E67" s="203"/>
      <c r="F67" s="203" t="e">
        <f>NeoGuiInfB!D7</f>
        <v>#DIV/0!</v>
      </c>
      <c r="H67" s="203" t="e">
        <f ca="1">NeoGuiInfB!E7</f>
        <v>#DIV/0!</v>
      </c>
      <c r="K67" s="154" t="str">
        <f>NeoGuiInfB!G7</f>
        <v>Chloor</v>
      </c>
      <c r="M67" s="203" t="e">
        <f ca="1">NeoGuiInfB!H7</f>
        <v>#DIV/0!</v>
      </c>
      <c r="N67" s="203"/>
      <c r="O67" s="203" t="e">
        <f>NeoGuiInfB!I7</f>
        <v>#DIV/0!</v>
      </c>
      <c r="Q67" s="203" t="e">
        <f ca="1">NeoGuiInfB!J7</f>
        <v>#DIV/0!</v>
      </c>
    </row>
    <row r="68" spans="2:17" x14ac:dyDescent="0.2">
      <c r="B68" s="154" t="str">
        <f>NeoGuiInfB!B8</f>
        <v>Vit D</v>
      </c>
      <c r="D68" s="203" t="str">
        <f ca="1">NeoGuiInfB!C8</f>
        <v>40 IE</v>
      </c>
      <c r="E68" s="203"/>
      <c r="F68" s="203" t="str">
        <f>NeoGuiInfB!D8</f>
        <v>15 IE</v>
      </c>
      <c r="H68" s="203" t="str">
        <f ca="1">NeoGuiInfB!E8</f>
        <v>55 IE</v>
      </c>
      <c r="K68" s="154" t="str">
        <f>NeoGuiInfB!G8</f>
        <v>Fosfaat</v>
      </c>
      <c r="M68" s="203" t="e">
        <f ca="1">NeoGuiInfB!H8</f>
        <v>#DIV/0!</v>
      </c>
      <c r="N68" s="203"/>
      <c r="O68" s="203" t="e">
        <f>NeoGuiInfB!I8</f>
        <v>#DIV/0!</v>
      </c>
      <c r="Q68" s="203" t="e">
        <f ca="1">NeoGuiInfB!J8</f>
        <v>#DIV/0!</v>
      </c>
    </row>
    <row r="70" spans="2:17" x14ac:dyDescent="0.2">
      <c r="B70" s="952" t="s">
        <v>115</v>
      </c>
      <c r="C70" s="952"/>
      <c r="D70" s="952"/>
      <c r="E70" s="952"/>
      <c r="F70" s="952"/>
      <c r="G70" s="952"/>
      <c r="H70" s="952"/>
      <c r="I70" s="952"/>
      <c r="J70" s="952"/>
      <c r="K70" s="952"/>
      <c r="L70" s="952"/>
      <c r="M70" s="952"/>
      <c r="N70" s="952"/>
      <c r="O70" s="952"/>
      <c r="P70" s="952"/>
      <c r="Q70" s="952"/>
    </row>
    <row r="71" spans="2:17" x14ac:dyDescent="0.2">
      <c r="B71" s="154" t="s">
        <v>371</v>
      </c>
      <c r="D71" s="1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62"/>
      <c r="Q71" s="162"/>
    </row>
    <row r="72" spans="2:17" x14ac:dyDescent="0.2">
      <c r="B72" s="154" t="s">
        <v>685</v>
      </c>
      <c r="D72" s="1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62"/>
      <c r="Q72" s="162"/>
    </row>
    <row r="73" spans="2:17" x14ac:dyDescent="0.2">
      <c r="B73" s="154" t="s">
        <v>686</v>
      </c>
      <c r="D73" s="1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62"/>
      <c r="Q73" s="162"/>
    </row>
    <row r="74" spans="2:17" x14ac:dyDescent="0.2">
      <c r="B74" s="154" t="s">
        <v>687</v>
      </c>
      <c r="D74" s="1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62"/>
      <c r="Q74" s="162"/>
    </row>
    <row r="75" spans="2:17" x14ac:dyDescent="0.2">
      <c r="B75" s="154" t="s">
        <v>146</v>
      </c>
      <c r="D75" s="1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62"/>
      <c r="Q75" s="162"/>
    </row>
    <row r="76" spans="2:17" x14ac:dyDescent="0.2">
      <c r="B76" s="154" t="s">
        <v>688</v>
      </c>
      <c r="D76" s="1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62"/>
      <c r="Q76" s="162"/>
    </row>
    <row r="77" spans="2:17" x14ac:dyDescent="0.2">
      <c r="B77" s="154" t="s">
        <v>692</v>
      </c>
      <c r="D77" s="1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62"/>
      <c r="Q77" s="162"/>
    </row>
    <row r="78" spans="2:17" x14ac:dyDescent="0.2">
      <c r="B78" s="154" t="s">
        <v>285</v>
      </c>
      <c r="D78" s="154" t="str">
        <f>IF(_Neo_Lab_Opm=0,"",_Neo_Lab_Opm)</f>
        <v/>
      </c>
      <c r="P78" s="162"/>
      <c r="Q78" s="162"/>
    </row>
    <row r="79" spans="2:17" x14ac:dyDescent="0.2">
      <c r="P79" s="162"/>
      <c r="Q79" s="162"/>
    </row>
    <row r="80" spans="2:17" x14ac:dyDescent="0.2">
      <c r="P80" s="162"/>
      <c r="Q80" s="162"/>
    </row>
    <row r="81" spans="2:17" x14ac:dyDescent="0.2">
      <c r="B81" s="952" t="s">
        <v>68</v>
      </c>
      <c r="C81" s="952"/>
      <c r="D81" s="952"/>
      <c r="E81" s="952"/>
      <c r="F81" s="952"/>
      <c r="G81" s="952"/>
      <c r="H81" s="952"/>
      <c r="I81" s="952"/>
      <c r="J81" s="952"/>
      <c r="K81" s="952"/>
      <c r="L81" s="952"/>
      <c r="M81" s="952"/>
      <c r="N81" s="952"/>
      <c r="O81" s="952"/>
      <c r="P81" s="952"/>
      <c r="Q81" s="952"/>
    </row>
    <row r="82" spans="2:17" x14ac:dyDescent="0.2">
      <c r="B82" s="154" t="s">
        <v>694</v>
      </c>
      <c r="D82" s="154" t="str">
        <f>IFERROR(LEFT(Var_Neo_AfsprControles,LEN(Var_Neo_AfsprControles)-3),"")</f>
        <v/>
      </c>
      <c r="P82" s="162"/>
      <c r="Q82" s="162"/>
    </row>
    <row r="83" spans="2:17" x14ac:dyDescent="0.2">
      <c r="B83" s="154" t="s">
        <v>700</v>
      </c>
      <c r="D83" s="154" t="str">
        <f>IFERROR(LEFT(Var_Neo_AfsprOnderzoek,LEN(Var_Neo_AfsprOnderzoek)-3),"")</f>
        <v/>
      </c>
      <c r="P83" s="162"/>
      <c r="Q83" s="162"/>
    </row>
    <row r="84" spans="2:17" x14ac:dyDescent="0.2">
      <c r="B84" s="154" t="s">
        <v>633</v>
      </c>
      <c r="D84" s="154" t="str">
        <f>IFERROR(LEFT(Var_Neo_AfsprKweken,LEN(Var_Neo_AfsprKweken)-3),"")</f>
        <v/>
      </c>
      <c r="P84" s="162"/>
      <c r="Q84" s="162"/>
    </row>
    <row r="85" spans="2:17" x14ac:dyDescent="0.2">
      <c r="B85" s="154" t="s">
        <v>900</v>
      </c>
      <c r="D85" s="154" t="str">
        <f>IFERROR(LEFT(Var_Neo_AfsprInstellingen,LEN(Var_Neo_AfsprInstellingen)-3),"")</f>
        <v/>
      </c>
      <c r="P85" s="162"/>
      <c r="Q85" s="162"/>
    </row>
    <row r="86" spans="2:17" x14ac:dyDescent="0.2">
      <c r="B86" s="154" t="s">
        <v>679</v>
      </c>
      <c r="D86" s="154" t="str">
        <f>IFERROR(LEFT(Var_Neo_AfsprOverig,LEN(Var_Neo_AfsprOverig)-3),"")</f>
        <v/>
      </c>
      <c r="P86" s="162"/>
      <c r="Q86" s="162"/>
    </row>
    <row r="87" spans="2:17" x14ac:dyDescent="0.2">
      <c r="P87" s="162"/>
      <c r="Q87" s="162"/>
    </row>
    <row r="88" spans="2:17" x14ac:dyDescent="0.2">
      <c r="P88" s="162"/>
      <c r="Q88" s="162"/>
    </row>
    <row r="89" spans="2:17" x14ac:dyDescent="0.2">
      <c r="P89" s="162"/>
      <c r="Q89" s="162"/>
    </row>
    <row r="90" spans="2:17" x14ac:dyDescent="0.2">
      <c r="P90" s="162"/>
      <c r="Q90" s="162"/>
    </row>
    <row r="91" spans="2:17" x14ac:dyDescent="0.2">
      <c r="P91" s="162"/>
      <c r="Q91" s="162"/>
    </row>
    <row r="92" spans="2:17" x14ac:dyDescent="0.2">
      <c r="P92" s="162"/>
      <c r="Q92" s="162"/>
    </row>
    <row r="93" spans="2:17" x14ac:dyDescent="0.2">
      <c r="P93" s="162"/>
      <c r="Q93" s="162"/>
    </row>
    <row r="94" spans="2:17" x14ac:dyDescent="0.2">
      <c r="P94" s="162"/>
      <c r="Q94" s="162"/>
    </row>
    <row r="95" spans="2:17" x14ac:dyDescent="0.2">
      <c r="P95" s="162"/>
      <c r="Q95" s="162"/>
    </row>
    <row r="96" spans="2:17" x14ac:dyDescent="0.2">
      <c r="P96" s="162"/>
      <c r="Q96" s="162"/>
    </row>
    <row r="97" spans="16:17" x14ac:dyDescent="0.2">
      <c r="P97" s="162"/>
      <c r="Q97" s="162"/>
    </row>
    <row r="98" spans="16:17" x14ac:dyDescent="0.2">
      <c r="P98" s="162"/>
      <c r="Q98" s="162"/>
    </row>
    <row r="99" spans="16:17" x14ac:dyDescent="0.2">
      <c r="P99" s="162"/>
      <c r="Q99" s="162"/>
    </row>
    <row r="100" spans="16:17" x14ac:dyDescent="0.2">
      <c r="P100" s="162"/>
      <c r="Q100" s="162"/>
    </row>
    <row r="101" spans="16:17" x14ac:dyDescent="0.2">
      <c r="P101" s="162"/>
      <c r="Q101" s="162"/>
    </row>
    <row r="102" spans="16:17" x14ac:dyDescent="0.2">
      <c r="P102" s="162"/>
      <c r="Q102" s="162"/>
    </row>
    <row r="103" spans="16:17" x14ac:dyDescent="0.2">
      <c r="P103" s="162"/>
      <c r="Q103" s="162"/>
    </row>
    <row r="104" spans="16:17" x14ac:dyDescent="0.2">
      <c r="P104" s="162"/>
      <c r="Q104" s="162"/>
    </row>
    <row r="105" spans="16:17" x14ac:dyDescent="0.2">
      <c r="P105" s="162"/>
      <c r="Q105" s="162"/>
    </row>
    <row r="106" spans="16:17" x14ac:dyDescent="0.2">
      <c r="P106" s="162"/>
      <c r="Q106" s="162"/>
    </row>
    <row r="107" spans="16:17" x14ac:dyDescent="0.2">
      <c r="P107" s="162"/>
      <c r="Q107" s="162"/>
    </row>
    <row r="108" spans="16:17" x14ac:dyDescent="0.2">
      <c r="P108" s="162"/>
      <c r="Q108" s="162"/>
    </row>
    <row r="109" spans="16:17" x14ac:dyDescent="0.2">
      <c r="P109" s="162"/>
      <c r="Q109" s="162"/>
    </row>
    <row r="110" spans="16:17" x14ac:dyDescent="0.2">
      <c r="P110" s="162"/>
      <c r="Q110" s="162"/>
    </row>
    <row r="111" spans="16:17" x14ac:dyDescent="0.2">
      <c r="P111" s="162"/>
      <c r="Q111" s="162"/>
    </row>
    <row r="112" spans="16:17" x14ac:dyDescent="0.2">
      <c r="P112" s="162"/>
      <c r="Q112" s="162"/>
    </row>
    <row r="113" spans="16:17" x14ac:dyDescent="0.2">
      <c r="P113" s="162"/>
      <c r="Q113" s="162"/>
    </row>
    <row r="114" spans="16:17" x14ac:dyDescent="0.2">
      <c r="P114" s="162"/>
      <c r="Q114" s="162"/>
    </row>
    <row r="115" spans="16:17" x14ac:dyDescent="0.2">
      <c r="P115" s="162"/>
      <c r="Q115" s="162"/>
    </row>
    <row r="116" spans="16:17" x14ac:dyDescent="0.2">
      <c r="P116" s="162"/>
      <c r="Q116" s="162"/>
    </row>
    <row r="117" spans="16:17" x14ac:dyDescent="0.2">
      <c r="P117" s="162"/>
      <c r="Q117" s="162"/>
    </row>
    <row r="118" spans="16:17" x14ac:dyDescent="0.2">
      <c r="P118" s="162"/>
      <c r="Q118" s="162"/>
    </row>
    <row r="119" spans="16:17" x14ac:dyDescent="0.2">
      <c r="P119" s="162"/>
      <c r="Q119" s="162"/>
    </row>
    <row r="120" spans="16:17" x14ac:dyDescent="0.2">
      <c r="P120" s="162"/>
      <c r="Q120" s="162"/>
    </row>
    <row r="121" spans="16:17" x14ac:dyDescent="0.2">
      <c r="P121" s="162"/>
      <c r="Q121" s="162"/>
    </row>
    <row r="122" spans="16:17" x14ac:dyDescent="0.2">
      <c r="P122" s="162"/>
      <c r="Q122" s="162"/>
    </row>
    <row r="123" spans="16:17" x14ac:dyDescent="0.2">
      <c r="P123" s="162"/>
      <c r="Q123" s="162"/>
    </row>
    <row r="124" spans="16:17" x14ac:dyDescent="0.2">
      <c r="P124" s="162"/>
      <c r="Q124" s="162"/>
    </row>
    <row r="125" spans="16:17" x14ac:dyDescent="0.2">
      <c r="P125" s="162"/>
      <c r="Q125" s="162"/>
    </row>
    <row r="126" spans="16:17" x14ac:dyDescent="0.2">
      <c r="P126" s="162"/>
      <c r="Q126" s="162"/>
    </row>
    <row r="127" spans="16:17" x14ac:dyDescent="0.2">
      <c r="P127" s="162"/>
      <c r="Q127" s="162"/>
    </row>
    <row r="128" spans="16:17" x14ac:dyDescent="0.2">
      <c r="P128" s="162"/>
      <c r="Q128" s="162"/>
    </row>
    <row r="129" spans="16:17" x14ac:dyDescent="0.2">
      <c r="P129" s="162"/>
      <c r="Q129" s="162"/>
    </row>
    <row r="130" spans="16:17" x14ac:dyDescent="0.2">
      <c r="P130" s="162"/>
      <c r="Q130" s="162"/>
    </row>
    <row r="131" spans="16:17" x14ac:dyDescent="0.2">
      <c r="P131" s="162"/>
      <c r="Q131" s="162"/>
    </row>
    <row r="132" spans="16:17" x14ac:dyDescent="0.2">
      <c r="P132" s="162"/>
      <c r="Q132" s="162"/>
    </row>
    <row r="133" spans="16:17" x14ac:dyDescent="0.2">
      <c r="P133" s="162"/>
      <c r="Q133" s="162"/>
    </row>
    <row r="134" spans="16:17" x14ac:dyDescent="0.2">
      <c r="P134" s="162"/>
      <c r="Q134" s="162"/>
    </row>
    <row r="135" spans="16:17" x14ac:dyDescent="0.2">
      <c r="P135" s="162"/>
      <c r="Q135" s="162"/>
    </row>
    <row r="136" spans="16:17" x14ac:dyDescent="0.2">
      <c r="P136" s="162"/>
      <c r="Q136" s="162"/>
    </row>
    <row r="137" spans="16:17" x14ac:dyDescent="0.2">
      <c r="P137" s="162"/>
      <c r="Q137" s="162"/>
    </row>
    <row r="138" spans="16:17" x14ac:dyDescent="0.2">
      <c r="P138" s="162"/>
      <c r="Q138" s="162"/>
    </row>
    <row r="139" spans="16:17" x14ac:dyDescent="0.2">
      <c r="P139" s="162"/>
      <c r="Q139" s="162"/>
    </row>
    <row r="140" spans="16:17" x14ac:dyDescent="0.2">
      <c r="P140" s="162"/>
      <c r="Q140" s="162"/>
    </row>
    <row r="141" spans="16:17" x14ac:dyDescent="0.2">
      <c r="P141" s="162"/>
      <c r="Q141" s="162"/>
    </row>
    <row r="142" spans="16:17" x14ac:dyDescent="0.2">
      <c r="P142" s="162"/>
      <c r="Q142" s="162"/>
    </row>
    <row r="143" spans="16:17" x14ac:dyDescent="0.2">
      <c r="P143" s="162"/>
      <c r="Q143" s="162"/>
    </row>
    <row r="144" spans="16:17" x14ac:dyDescent="0.2">
      <c r="P144" s="162"/>
      <c r="Q144" s="162"/>
    </row>
    <row r="145" spans="16:17" x14ac:dyDescent="0.2">
      <c r="P145" s="162"/>
      <c r="Q145" s="162"/>
    </row>
    <row r="146" spans="16:17" x14ac:dyDescent="0.2">
      <c r="P146" s="162"/>
      <c r="Q146" s="162"/>
    </row>
  </sheetData>
  <sheetProtection password="CC20" sheet="1" objects="1" scenario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I5" sqref="I5"/>
    </sheetView>
  </sheetViews>
  <sheetFormatPr defaultColWidth="9.140625" defaultRowHeight="12.75" x14ac:dyDescent="0.2"/>
  <cols>
    <col min="1" max="13" width="5.7109375" style="154" customWidth="1"/>
    <col min="14" max="15" width="11.28515625" style="154" bestFit="1" customWidth="1"/>
    <col min="16" max="17" width="5.7109375" style="154" customWidth="1"/>
    <col min="18" max="16384" width="9.140625" style="154"/>
  </cols>
  <sheetData>
    <row r="1" spans="1:20" x14ac:dyDescent="0.2">
      <c r="A1" s="351"/>
      <c r="B1" s="154" t="s">
        <v>525</v>
      </c>
      <c r="H1" s="154" t="s">
        <v>505</v>
      </c>
      <c r="J1" s="960">
        <f ca="1">TODAY()</f>
        <v>42751</v>
      </c>
      <c r="K1" s="960"/>
      <c r="L1" s="960"/>
      <c r="M1" s="154" t="s">
        <v>490</v>
      </c>
      <c r="N1" s="176">
        <f>__1_Bed</f>
        <v>0</v>
      </c>
    </row>
    <row r="2" spans="1:20" x14ac:dyDescent="0.2">
      <c r="B2" s="154" t="s">
        <v>504</v>
      </c>
      <c r="D2" s="160" t="str">
        <f>__3_VoorNaam&amp;" "&amp;__2_AchterNaam</f>
        <v xml:space="preserve"> </v>
      </c>
      <c r="H2" s="154" t="s">
        <v>508</v>
      </c>
      <c r="J2" s="160" t="e">
        <f>IF(Var_Neo_InfB_Arts&gt;0,Var_Neo_InfB_Arts,"")</f>
        <v>#NAME?</v>
      </c>
      <c r="M2" s="154" t="s">
        <v>506</v>
      </c>
      <c r="N2" s="961">
        <f ca="1">NOW()</f>
        <v>42751.133235185189</v>
      </c>
      <c r="O2" s="961"/>
    </row>
    <row r="3" spans="1:20" x14ac:dyDescent="0.2">
      <c r="B3" s="154" t="s">
        <v>507</v>
      </c>
      <c r="D3" s="160">
        <f>(_Pat_Gewicht/10)</f>
        <v>0</v>
      </c>
      <c r="E3" s="154" t="s">
        <v>607</v>
      </c>
      <c r="J3" s="162"/>
      <c r="K3" s="162"/>
      <c r="L3" s="162"/>
      <c r="M3" s="154" t="s">
        <v>526</v>
      </c>
    </row>
    <row r="4" spans="1:20" ht="9" customHeight="1" x14ac:dyDescent="0.2">
      <c r="H4" s="162"/>
      <c r="I4" s="162"/>
      <c r="J4" s="162"/>
      <c r="K4" s="162"/>
    </row>
    <row r="5" spans="1:20" ht="15.75" x14ac:dyDescent="0.25">
      <c r="A5" s="253">
        <v>1</v>
      </c>
      <c r="B5" s="254">
        <f>IF(NeoPrtWerkbr!C26&lt;&gt;"zijlijn",NeoPrtWerkbr!A26,"")</f>
        <v>1</v>
      </c>
      <c r="C5" s="254"/>
      <c r="D5" s="255" t="str">
        <f>NeoPrtWerkbr!C26</f>
        <v>dopamine</v>
      </c>
      <c r="E5" s="256"/>
      <c r="F5" s="257">
        <f>IF(NeoPrtWerkbr!E26&lt;&gt;"",IF(D5&lt;&gt;"lidocaine",IF(NeoPrtWerkbr!M28&lt;25,NeoPrtWerkbr!E26*2,NeoPrtWerkbr!E26),NeoPrtWerkbr!E26*1.5),"")</f>
        <v>200</v>
      </c>
      <c r="G5" s="256" t="str">
        <f>NeoPrtWerkbr!F26</f>
        <v>mg</v>
      </c>
      <c r="H5" s="258" t="str">
        <f>NeoPrtWerkbr!G26</f>
        <v>(</v>
      </c>
      <c r="I5" s="256">
        <f>NeoPrtWerkbr!H26</f>
        <v>40</v>
      </c>
      <c r="J5" s="256" t="str">
        <f>NeoPrtWerkbr!I26</f>
        <v xml:space="preserve">mg = </v>
      </c>
      <c r="K5" s="256">
        <f>NeoPrtWerkbr!J26</f>
        <v>1</v>
      </c>
      <c r="L5" s="256" t="str">
        <f>NeoPrtWerkbr!K26</f>
        <v>ml)</v>
      </c>
      <c r="M5" s="256"/>
      <c r="N5" s="259">
        <f>IF(B5&lt;&gt;"",IF(B5&gt;0,TRUNC((K5/I5)*F5),0),"")</f>
        <v>5</v>
      </c>
      <c r="O5" s="260">
        <f>IF(B5&lt;&gt;"",(ROUND((K5/I5)*F5,2)-N5)*100,"")</f>
        <v>0</v>
      </c>
      <c r="P5" s="162"/>
      <c r="Q5" s="162"/>
      <c r="R5" s="162"/>
    </row>
    <row r="6" spans="1:20" ht="15.75" x14ac:dyDescent="0.25">
      <c r="A6" s="372"/>
      <c r="B6" s="254"/>
      <c r="C6" s="254"/>
      <c r="D6" s="261" t="str">
        <f>NeoPrtWerkbr!C28</f>
        <v>1 ml/uur</v>
      </c>
      <c r="E6" s="262"/>
      <c r="F6" s="262" t="str">
        <f>NeoPrtWerkbr!E28</f>
        <v xml:space="preserve"> = 0 microg/kg/min</v>
      </c>
      <c r="G6" s="262"/>
      <c r="H6" s="263"/>
      <c r="I6" s="262"/>
      <c r="J6" s="262" t="str">
        <f>NeoPrtWerkbr!I27</f>
        <v>in</v>
      </c>
      <c r="K6" s="264" t="str">
        <f>IF(AND(D5&lt;&gt;"Nepresol (dihydralazine)",D5&lt;&gt;"Flolan (epoprostenol)"),NeoPrtWerkbr!J27,"NaCl 0,9%")</f>
        <v>glucose 10%</v>
      </c>
      <c r="L6" s="262"/>
      <c r="M6" s="262"/>
      <c r="N6" s="265">
        <f>IF(B5&lt;&gt;"",TRUNC(N7+O7/100-N5-O5/100),"")</f>
        <v>-5</v>
      </c>
      <c r="O6" s="266">
        <f>IF(B5&lt;&gt;"",(N7+O7/100-N5-O5/100-N6)*100,"")</f>
        <v>0</v>
      </c>
      <c r="P6" s="162"/>
      <c r="Q6" s="162"/>
      <c r="R6" s="162"/>
    </row>
    <row r="7" spans="1:20" ht="15.75" x14ac:dyDescent="0.25">
      <c r="A7" s="253"/>
      <c r="B7" s="254"/>
      <c r="C7" s="254"/>
      <c r="D7" s="267" t="s">
        <v>527</v>
      </c>
      <c r="E7" s="268"/>
      <c r="F7" s="269" t="str">
        <f>IF(D5&lt;&gt;"",INDEX(Tbl_Neo_MedIV,NeoBerInfB!B23,2),"")</f>
        <v>mg</v>
      </c>
      <c r="G7" s="268"/>
      <c r="H7" s="268"/>
      <c r="I7" s="270"/>
      <c r="J7" s="270"/>
      <c r="K7" s="271" t="str">
        <f>NeoPrtWerkbr!J28</f>
        <v>Totaal</v>
      </c>
      <c r="L7" s="270"/>
      <c r="M7" s="270"/>
      <c r="N7" s="272">
        <f>IF(B5&lt;&gt;"",IF(D5&lt;&gt;"lidocaine",IF(_Neo_1700_Cont_OplHoev_1&lt;25,2*TRUNC(_Neo_1700_Cont_OplHoev_1),TRUNC(_Neo_1700_Cont_OplHoev_1)),TRUNC(_Neo_1700_Cont_OplHoev_1*1.5)),"")</f>
        <v>0</v>
      </c>
      <c r="O7" s="273">
        <f>IF(B5&lt;&gt;"",IF(D5&lt;&gt;"lidocaine",IF(_Neo_1700_Cont_OplHoev_1&lt;25,(2*_Neo_1700_Cont_OplHoev_1-N7)*100,(_Neo_1700_Cont_OplHoev_1-N7)*100),1.5*_Neo_1700_Cont_OplHoev_1-N7),"")</f>
        <v>0</v>
      </c>
      <c r="P7" s="162"/>
      <c r="Q7" s="162"/>
      <c r="R7" s="162"/>
    </row>
    <row r="8" spans="1:20" ht="9.9499999999999993" customHeight="1" x14ac:dyDescent="0.25">
      <c r="A8" s="253"/>
      <c r="B8" s="227"/>
      <c r="C8" s="227"/>
      <c r="D8" s="211"/>
      <c r="E8" s="211"/>
      <c r="F8" s="274"/>
      <c r="G8" s="211"/>
      <c r="H8" s="211"/>
      <c r="I8" s="211"/>
      <c r="J8" s="211"/>
      <c r="K8" s="212"/>
      <c r="L8" s="211"/>
      <c r="M8" s="211"/>
      <c r="N8" s="275"/>
      <c r="O8" s="276"/>
      <c r="P8" s="162"/>
      <c r="Q8" s="162"/>
      <c r="R8" s="162"/>
    </row>
    <row r="9" spans="1:20" ht="15.75" x14ac:dyDescent="0.25">
      <c r="A9" s="253">
        <v>2</v>
      </c>
      <c r="B9" s="277" t="str">
        <f>IF(NeoPrtWerkbr!C29&lt;&gt;"zijlijn",NeoPrtWerkbr!A29,"")</f>
        <v/>
      </c>
      <c r="C9" s="277"/>
      <c r="D9" s="190" t="str">
        <f>NeoPrtWerkbr!C29</f>
        <v/>
      </c>
      <c r="E9" s="191"/>
      <c r="F9" s="278" t="str">
        <f>IF(NeoPrtWerkbr!E29&lt;&gt;"",IF(D9&lt;&gt;"lidocaine",IF(NeoPrtWerkbr!M31&lt;25,NeoPrtWerkbr!E29*2,NeoPrtWerkbr!E29),NeoPrtWerkbr!E29*1.5),"")</f>
        <v/>
      </c>
      <c r="G9" s="191" t="str">
        <f>NeoPrtWerkbr!F29</f>
        <v>mg</v>
      </c>
      <c r="H9" s="279" t="str">
        <f>NeoPrtWerkbr!G29</f>
        <v>(</v>
      </c>
      <c r="I9" s="191" t="str">
        <f>NeoPrtWerkbr!H29</f>
        <v/>
      </c>
      <c r="J9" s="191" t="str">
        <f>NeoPrtWerkbr!I29</f>
        <v>mg=</v>
      </c>
      <c r="K9" s="191" t="str">
        <f>NeoPrtWerkbr!J29</f>
        <v/>
      </c>
      <c r="L9" s="191" t="str">
        <f>NeoPrtWerkbr!K29</f>
        <v>ml)</v>
      </c>
      <c r="M9" s="191"/>
      <c r="N9" s="280" t="str">
        <f>IF(B9&lt;&gt;"",IF(B9&gt;0,TRUNC((K9/I9)*F9),0),"")</f>
        <v/>
      </c>
      <c r="O9" s="281" t="str">
        <f>IF(B9&lt;&gt;"",(IF(B9&gt;0,ROUND((K9/I9)*F9,2),0)-N9)*100,"")</f>
        <v/>
      </c>
      <c r="P9" s="162"/>
      <c r="Q9" s="162"/>
      <c r="R9" s="162"/>
    </row>
    <row r="10" spans="1:20" ht="15.75" x14ac:dyDescent="0.25">
      <c r="A10" s="253"/>
      <c r="B10" s="277"/>
      <c r="C10" s="277"/>
      <c r="D10" s="282" t="str">
        <f>NeoPrtWerkbr!C31</f>
        <v/>
      </c>
      <c r="E10" s="162"/>
      <c r="F10" s="162" t="str">
        <f>NeoPrtWerkbr!E31</f>
        <v/>
      </c>
      <c r="G10" s="162"/>
      <c r="H10" s="283"/>
      <c r="I10" s="162"/>
      <c r="J10" s="162" t="str">
        <f>NeoPrtWerkbr!I30</f>
        <v>in</v>
      </c>
      <c r="K10" s="169" t="str">
        <f>IF(AND(D9&lt;&gt;"Nepresol (dihydralazine)",D9&lt;&gt;"Flolan (epoprostenol)"),NeoPrtWerkbr!J30,"NaCl 0,9%")</f>
        <v/>
      </c>
      <c r="L10" s="162"/>
      <c r="M10" s="162"/>
      <c r="N10" s="280" t="str">
        <f>IF(B9&lt;&gt;"",TRUNC(IF(B9&gt;0,N11+O11/100-N9-O9/100,0)),"")</f>
        <v/>
      </c>
      <c r="O10" s="281" t="str">
        <f>IF(B9&lt;&gt;"",(IF(B9&gt;0,N11+O11/100-N9-O9/100,0)-N10)*100,"")</f>
        <v/>
      </c>
      <c r="P10" s="162"/>
      <c r="Q10" s="162"/>
      <c r="R10" s="162"/>
    </row>
    <row r="11" spans="1:20" ht="15.75" x14ac:dyDescent="0.25">
      <c r="A11" s="253"/>
      <c r="B11" s="277"/>
      <c r="C11" s="277"/>
      <c r="D11" s="284" t="s">
        <v>527</v>
      </c>
      <c r="E11" s="285"/>
      <c r="F11" s="286" t="str">
        <f>IF(D9&lt;&gt;"",INDEX(Tbl_Neo_MedIV,NeoBerInfB!B24,2),"")</f>
        <v/>
      </c>
      <c r="G11" s="285"/>
      <c r="H11" s="287"/>
      <c r="I11" s="288"/>
      <c r="J11" s="288"/>
      <c r="K11" s="289" t="str">
        <f>NeoPrtWerkbr!J31</f>
        <v>Totaal</v>
      </c>
      <c r="L11" s="288"/>
      <c r="M11" s="288"/>
      <c r="N11" s="290" t="str">
        <f>IF(B9&lt;&gt;"",IF(D9&lt;&gt;"lidocaine",IF(_Neo_1700_Cont_OplHoev_2&lt;25,2*TRUNC(_Neo_1700_Cont_OplHoev_2),TRUNC(_Neo_1700_Cont_OplHoev_2)),TRUNC(_Neo_1700_Cont_OplHoev_2*1.5)),"")</f>
        <v/>
      </c>
      <c r="O11" s="291" t="str">
        <f>IF(B9&lt;&gt;"",IF(D9&lt;&gt;"lidocaine",IF(_Neo_1700_Cont_OplHoev_2&lt;25,(2*_Neo_1700_Cont_OplHoev_2-N11)*100,(_Neo_1700_Cont_OplHoev_2-N11)*100),1.5*_Neo_1700_Cont_OplHoev_2-N11),"")</f>
        <v/>
      </c>
      <c r="P11" s="162"/>
      <c r="Q11" s="162"/>
      <c r="R11" s="162"/>
    </row>
    <row r="12" spans="1:20" ht="9.9499999999999993" customHeight="1" x14ac:dyDescent="0.25">
      <c r="A12" s="253"/>
      <c r="B12" s="292"/>
      <c r="C12" s="292"/>
      <c r="D12" s="191"/>
      <c r="E12" s="191"/>
      <c r="F12" s="293"/>
      <c r="G12" s="191"/>
      <c r="H12" s="279"/>
      <c r="I12" s="191"/>
      <c r="J12" s="191"/>
      <c r="K12" s="278"/>
      <c r="L12" s="191"/>
      <c r="M12" s="191"/>
      <c r="N12" s="294"/>
      <c r="O12" s="295"/>
      <c r="P12" s="162"/>
      <c r="Q12" s="162"/>
      <c r="R12" s="162"/>
    </row>
    <row r="13" spans="1:20" ht="15.75" x14ac:dyDescent="0.25">
      <c r="A13" s="253">
        <v>3</v>
      </c>
      <c r="B13" s="254" t="str">
        <f>IF(NeoPrtWerkbr!C32&lt;&gt;"zijlijn",NeoPrtWerkbr!A32,"")</f>
        <v/>
      </c>
      <c r="C13" s="254"/>
      <c r="D13" s="255" t="str">
        <f>NeoPrtWerkbr!C32</f>
        <v/>
      </c>
      <c r="E13" s="256"/>
      <c r="F13" s="257" t="str">
        <f>IF(NeoPrtWerkbr!E32&lt;&gt;"",IF(D13&lt;&gt;"lidocaine",IF(NeoPrtWerkbr!M34&lt;25,NeoPrtWerkbr!E32*2,NeoPrtWerkbr!E32),NeoPrtWerkbr!E32*1.5),"")</f>
        <v/>
      </c>
      <c r="G13" s="256" t="str">
        <f>NeoPrtWerkbr!F32</f>
        <v>mg</v>
      </c>
      <c r="H13" s="258" t="str">
        <f>NeoPrtWerkbr!G32</f>
        <v>(</v>
      </c>
      <c r="I13" s="256" t="str">
        <f>NeoPrtWerkbr!H32</f>
        <v/>
      </c>
      <c r="J13" s="256" t="str">
        <f>NeoPrtWerkbr!I32</f>
        <v>mg=</v>
      </c>
      <c r="K13" s="256" t="str">
        <f>NeoPrtWerkbr!J32</f>
        <v/>
      </c>
      <c r="L13" s="256" t="str">
        <f>NeoPrtWerkbr!K32</f>
        <v>ml)</v>
      </c>
      <c r="M13" s="256"/>
      <c r="N13" s="259" t="str">
        <f>IF(B13&lt;&gt;"",IF(B13&gt;0,TRUNC((K13/I13)*F13),0),"")</f>
        <v/>
      </c>
      <c r="O13" s="260" t="str">
        <f>IF(B13&lt;&gt;"",(IF(B13&gt;0,ROUND((K13/I13)*F13,2),0)-N13)*100,"")</f>
        <v/>
      </c>
      <c r="P13" s="162"/>
      <c r="Q13" s="162"/>
      <c r="R13" s="162"/>
      <c r="T13" s="170"/>
    </row>
    <row r="14" spans="1:20" ht="15.75" x14ac:dyDescent="0.25">
      <c r="A14" s="253"/>
      <c r="B14" s="254"/>
      <c r="C14" s="254"/>
      <c r="D14" s="261" t="str">
        <f>NeoPrtWerkbr!C34</f>
        <v/>
      </c>
      <c r="E14" s="262"/>
      <c r="F14" s="262" t="str">
        <f>NeoPrtWerkbr!E34</f>
        <v/>
      </c>
      <c r="G14" s="262"/>
      <c r="H14" s="263"/>
      <c r="I14" s="262"/>
      <c r="J14" s="262" t="str">
        <f>NeoPrtWerkbr!I33</f>
        <v>in</v>
      </c>
      <c r="K14" s="264" t="str">
        <f>IF(AND(D13&lt;&gt;"Nepresol (dihydralazine)",D13&lt;&gt;"Flolan (epoprostenol)"),NeoPrtWerkbr!J33,"NaCl 0,9%")</f>
        <v/>
      </c>
      <c r="L14" s="262"/>
      <c r="M14" s="262"/>
      <c r="N14" s="265" t="str">
        <f>IF(B13&lt;&gt;"",TRUNC(IF(B13&gt;0,N15+O15/100-N13-O13/100,0)),"")</f>
        <v/>
      </c>
      <c r="O14" s="266" t="str">
        <f>IF(B13&lt;&gt;"",(IF(B13&gt;0,N15+O15/100-N13-O13/100,0)-N14)*100,"")</f>
        <v/>
      </c>
      <c r="P14" s="162"/>
      <c r="Q14" s="162"/>
      <c r="R14" s="162"/>
    </row>
    <row r="15" spans="1:20" ht="15.75" x14ac:dyDescent="0.25">
      <c r="A15" s="253"/>
      <c r="B15" s="254"/>
      <c r="C15" s="254"/>
      <c r="D15" s="267" t="s">
        <v>527</v>
      </c>
      <c r="E15" s="268"/>
      <c r="F15" s="269" t="str">
        <f>IF(D13&lt;&gt;"",INDEX(Tbl_Neo_MedIV,NeoBerInfB!B25,2),"")</f>
        <v/>
      </c>
      <c r="G15" s="268"/>
      <c r="H15" s="270"/>
      <c r="I15" s="270"/>
      <c r="J15" s="270"/>
      <c r="K15" s="271" t="str">
        <f>NeoPrtWerkbr!J34</f>
        <v>Totaal</v>
      </c>
      <c r="L15" s="270"/>
      <c r="M15" s="270"/>
      <c r="N15" s="272" t="str">
        <f>IF(B13&lt;&gt;"",IF(D13&lt;&gt;"lidocaine",IF(_Neo_1700_Cont_OplHoev_3&lt;25,2*TRUNC(_Neo_1700_Cont_OplHoev_3),TRUNC(_Neo_1700_Cont_OplHoev_3)),TRUNC(_Neo_1700_Cont_OplHoev_3*1.5)),"")</f>
        <v/>
      </c>
      <c r="O15" s="273" t="str">
        <f>IF(B13&lt;&gt;"",IF(D13&lt;&gt;"lidocaine",IF(_Neo_1700_Cont_OplHoev_3&lt;25,(2*_Neo_1700_Cont_OplHoev_3-N15)*100,(_Neo_1700_Cont_OplHoev_3-N15)*100),1.5*_Neo_1700_Cont_OplHoev_3-N15),"")</f>
        <v/>
      </c>
      <c r="P15" s="162"/>
      <c r="Q15" s="162"/>
      <c r="R15" s="162"/>
    </row>
    <row r="16" spans="1:20" ht="9.9499999999999993" customHeight="1" x14ac:dyDescent="0.25">
      <c r="A16" s="253"/>
      <c r="B16" s="227"/>
      <c r="C16" s="227"/>
      <c r="D16" s="211"/>
      <c r="E16" s="211"/>
      <c r="F16" s="274"/>
      <c r="G16" s="211"/>
      <c r="H16" s="211"/>
      <c r="I16" s="211"/>
      <c r="J16" s="211"/>
      <c r="K16" s="212"/>
      <c r="L16" s="211"/>
      <c r="M16" s="211"/>
      <c r="N16" s="275"/>
      <c r="O16" s="276"/>
      <c r="P16" s="162"/>
      <c r="Q16" s="162"/>
      <c r="R16" s="162"/>
    </row>
    <row r="17" spans="1:18" ht="15.75" x14ac:dyDescent="0.25">
      <c r="A17" s="253">
        <v>4</v>
      </c>
      <c r="B17" s="277" t="str">
        <f>IF(NeoPrtWerkbr!C35&lt;&gt;"zijlijn",NeoPrtWerkbr!A35,"")</f>
        <v/>
      </c>
      <c r="C17" s="277"/>
      <c r="D17" s="190" t="str">
        <f>NeoPrtWerkbr!C35</f>
        <v/>
      </c>
      <c r="E17" s="191"/>
      <c r="F17" s="278" t="str">
        <f>IF(NeoPrtWerkbr!E35&lt;&gt;"",IF(D17&lt;&gt;"lidocaine",IF(NeoPrtWerkbr!M37&lt;25,NeoPrtWerkbr!E35*2,NeoPrtWerkbr!E35),NeoPrtWerkbr!E35*1.5),"")</f>
        <v/>
      </c>
      <c r="G17" s="191" t="str">
        <f>NeoPrtWerkbr!F35</f>
        <v>mg</v>
      </c>
      <c r="H17" s="279" t="str">
        <f>NeoPrtWerkbr!G35</f>
        <v>(</v>
      </c>
      <c r="I17" s="191" t="str">
        <f>NeoPrtWerkbr!H35</f>
        <v/>
      </c>
      <c r="J17" s="191" t="str">
        <f>NeoPrtWerkbr!I35</f>
        <v>mg=</v>
      </c>
      <c r="K17" s="191" t="str">
        <f>NeoPrtWerkbr!J35</f>
        <v/>
      </c>
      <c r="L17" s="191" t="str">
        <f>NeoPrtWerkbr!K35</f>
        <v>ml)</v>
      </c>
      <c r="M17" s="191"/>
      <c r="N17" s="280" t="str">
        <f>IF(B17&lt;&gt;"",IF(B17&gt;0,TRUNC((K17/I17)*F17),0),"")</f>
        <v/>
      </c>
      <c r="O17" s="281" t="str">
        <f>IF(B17&lt;&gt;"",(IF(B17&gt;0,ROUND((K17/I17)*F17,2),0)-N17)*100,"")</f>
        <v/>
      </c>
      <c r="P17" s="162"/>
      <c r="Q17" s="162"/>
      <c r="R17" s="162"/>
    </row>
    <row r="18" spans="1:18" ht="15.75" x14ac:dyDescent="0.25">
      <c r="A18" s="253"/>
      <c r="B18" s="277"/>
      <c r="C18" s="277"/>
      <c r="D18" s="282" t="str">
        <f>NeoPrtWerkbr!C37</f>
        <v/>
      </c>
      <c r="E18" s="162"/>
      <c r="F18" s="162" t="str">
        <f>NeoPrtWerkbr!E37</f>
        <v/>
      </c>
      <c r="G18" s="162"/>
      <c r="H18" s="283"/>
      <c r="I18" s="162"/>
      <c r="J18" s="162" t="str">
        <f>NeoPrtWerkbr!I36</f>
        <v>in</v>
      </c>
      <c r="K18" s="169" t="str">
        <f>IF(AND(D17&lt;&gt;"Nepresol (dihydralazine)",D17&lt;&gt;"Flolan (epoprostenol)"),NeoPrtWerkbr!J36,"NaCl 0,9%")</f>
        <v/>
      </c>
      <c r="L18" s="162"/>
      <c r="M18" s="162"/>
      <c r="N18" s="280" t="str">
        <f>IF(B17&lt;&gt;"",TRUNC(IF(B17&gt;0,N19+O19/100-N17-O17/100,0)),"")</f>
        <v/>
      </c>
      <c r="O18" s="281" t="str">
        <f>IF(B17&lt;&gt;"",(IF(B17&gt;0,N19+O19/100-N17-O17/100,0)-N18)*100,"")</f>
        <v/>
      </c>
      <c r="P18" s="162"/>
      <c r="Q18" s="162"/>
      <c r="R18" s="162"/>
    </row>
    <row r="19" spans="1:18" ht="15.75" x14ac:dyDescent="0.25">
      <c r="A19" s="253"/>
      <c r="B19" s="277"/>
      <c r="C19" s="277"/>
      <c r="D19" s="284" t="s">
        <v>527</v>
      </c>
      <c r="E19" s="285"/>
      <c r="F19" s="286" t="str">
        <f>IF(D17&lt;&gt;"",INDEX(Tbl_Neo_MedIV,NeoBerInfB!B26,2),"")</f>
        <v/>
      </c>
      <c r="G19" s="285"/>
      <c r="H19" s="285"/>
      <c r="I19" s="288"/>
      <c r="J19" s="288"/>
      <c r="K19" s="289" t="str">
        <f>NeoPrtWerkbr!J37</f>
        <v>Totaal</v>
      </c>
      <c r="L19" s="288"/>
      <c r="M19" s="288"/>
      <c r="N19" s="290" t="str">
        <f>IF(B17&lt;&gt;"",IF(D17&lt;&gt;"lidocaine",IF(_Neo_1700_Cont_OplHoev_4&lt;25,2*TRUNC(_Neo_1700_Cont_OplHoev_4),TRUNC(_Neo_1700_Cont_OplHoev_4)),TRUNC(_Neo_1700_Cont_OplHoev_4*1.5)),"")</f>
        <v/>
      </c>
      <c r="O19" s="291" t="str">
        <f>IF(B17&lt;&gt;"",IF(D17&lt;&gt;"lidocaine",IF(_Neo_1700_Cont_OplHoev_4&lt;25,(2*_Neo_1700_Cont_OplHoev_4-N19)*100,(_Neo_1700_Cont_OplHoev_4-N19)*100),1.5*_Neo_1700_Cont_OplHoev_4-N19),"")</f>
        <v/>
      </c>
      <c r="P19" s="162"/>
      <c r="Q19" s="162"/>
      <c r="R19" s="162"/>
    </row>
    <row r="20" spans="1:18" ht="9.9499999999999993" customHeight="1" x14ac:dyDescent="0.25">
      <c r="A20" s="253"/>
      <c r="B20" s="292"/>
      <c r="C20" s="292"/>
      <c r="D20" s="191"/>
      <c r="E20" s="191"/>
      <c r="F20" s="293"/>
      <c r="G20" s="191"/>
      <c r="H20" s="191"/>
      <c r="I20" s="191"/>
      <c r="J20" s="191"/>
      <c r="K20" s="278"/>
      <c r="L20" s="191"/>
      <c r="M20" s="191"/>
      <c r="N20" s="294"/>
      <c r="O20" s="295"/>
      <c r="P20" s="162"/>
      <c r="Q20" s="162"/>
      <c r="R20" s="162"/>
    </row>
    <row r="21" spans="1:18" ht="15.75" x14ac:dyDescent="0.25">
      <c r="A21" s="253">
        <v>5</v>
      </c>
      <c r="B21" s="254" t="str">
        <f>IF(NeoPrtWerkbr!C38&lt;&gt;"zijlijn",NeoPrtWerkbr!A38,"")</f>
        <v/>
      </c>
      <c r="C21" s="254"/>
      <c r="D21" s="255" t="str">
        <f>NeoPrtWerkbr!C38</f>
        <v/>
      </c>
      <c r="E21" s="256"/>
      <c r="F21" s="257" t="str">
        <f>IF(NeoPrtWerkbr!E38&lt;&gt;"",IF(D21&lt;&gt;"lidocaine",IF(NeoPrtWerkbr!M40&lt;25,NeoPrtWerkbr!E38*2,NeoPrtWerkbr!E38),NeoPrtWerkbr!E38*1.5),"")</f>
        <v/>
      </c>
      <c r="G21" s="256" t="str">
        <f>NeoPrtWerkbr!F38</f>
        <v>mg</v>
      </c>
      <c r="H21" s="258" t="str">
        <f>NeoPrtWerkbr!G38</f>
        <v>(</v>
      </c>
      <c r="I21" s="256" t="str">
        <f>NeoPrtWerkbr!H38</f>
        <v/>
      </c>
      <c r="J21" s="256" t="str">
        <f>NeoPrtWerkbr!I38</f>
        <v>mg=</v>
      </c>
      <c r="K21" s="256" t="str">
        <f>NeoPrtWerkbr!J38</f>
        <v/>
      </c>
      <c r="L21" s="256" t="str">
        <f>NeoPrtWerkbr!K38</f>
        <v>ml)</v>
      </c>
      <c r="M21" s="256"/>
      <c r="N21" s="259" t="str">
        <f>IF(B21&lt;&gt;"",IF(B21&gt;0,TRUNC((K21/I21)*F21),0),"")</f>
        <v/>
      </c>
      <c r="O21" s="260" t="str">
        <f>IF(B21&lt;&gt;"",(IF(B21&gt;0,ROUND((K21/I21)*F21,2),0)-N21)*100,"")</f>
        <v/>
      </c>
      <c r="P21" s="162"/>
      <c r="Q21" s="162"/>
      <c r="R21" s="162"/>
    </row>
    <row r="22" spans="1:18" ht="15.75" x14ac:dyDescent="0.25">
      <c r="A22" s="253"/>
      <c r="B22" s="254"/>
      <c r="C22" s="254"/>
      <c r="D22" s="261" t="str">
        <f>NeoPrtWerkbr!C40</f>
        <v/>
      </c>
      <c r="E22" s="262"/>
      <c r="F22" s="262" t="str">
        <f>NeoPrtWerkbr!E40</f>
        <v/>
      </c>
      <c r="G22" s="262"/>
      <c r="H22" s="263"/>
      <c r="I22" s="262"/>
      <c r="J22" s="262" t="str">
        <f>NeoPrtWerkbr!I39</f>
        <v>in</v>
      </c>
      <c r="K22" s="264" t="str">
        <f>IF(AND(D21&lt;&gt;"Nepresol (dihydralazine)",D21&lt;&gt;"Flolan (epoprostenol)"),NeoPrtWerkbr!J39,"NaCl 0,9%")</f>
        <v/>
      </c>
      <c r="L22" s="262"/>
      <c r="M22" s="262"/>
      <c r="N22" s="265" t="str">
        <f>IF(B21&lt;&gt;"",TRUNC(IF(B21&gt;0,N23+O23/100-N21-O21/100,0)),"")</f>
        <v/>
      </c>
      <c r="O22" s="266" t="str">
        <f>IF(B21&lt;&gt;"",(IF(B21&gt;0,N23+O23/100-N21-O21/100,0)-N22)*100,"")</f>
        <v/>
      </c>
      <c r="P22" s="162"/>
      <c r="Q22" s="162"/>
      <c r="R22" s="162"/>
    </row>
    <row r="23" spans="1:18" ht="15.75" x14ac:dyDescent="0.25">
      <c r="A23" s="253"/>
      <c r="B23" s="254"/>
      <c r="C23" s="254"/>
      <c r="D23" s="267" t="s">
        <v>527</v>
      </c>
      <c r="E23" s="268"/>
      <c r="F23" s="269" t="str">
        <f>IF(D21&lt;&gt;"",INDEX(Tbl_Neo_MedIV,NeoBerInfB!B27,2),"")</f>
        <v/>
      </c>
      <c r="G23" s="268"/>
      <c r="H23" s="296"/>
      <c r="I23" s="270"/>
      <c r="J23" s="270"/>
      <c r="K23" s="271" t="str">
        <f>NeoPrtWerkbr!J40</f>
        <v>Totaal</v>
      </c>
      <c r="L23" s="270"/>
      <c r="M23" s="270"/>
      <c r="N23" s="272" t="str">
        <f>IF(B21&lt;&gt;"",IF(D21&lt;&gt;"lidocaine",IF(_Neo_1700_Cont_OplHoev_5&lt;25,2*TRUNC(_Neo_1700_Cont_OplHoev_5),TRUNC(_Neo_1700_Cont_OplHoev_5)),TRUNC(_Neo_1700_Cont_OplHoev_5*1.5)),"")</f>
        <v/>
      </c>
      <c r="O23" s="273" t="str">
        <f>IF(B21&lt;&gt;"",IF(D21&lt;&gt;"lidocaine",IF(_Neo_1700_Cont_OplHoev_5&lt;25,(2*_Neo_1700_Cont_OplHoev_5-N23)*100,(_Neo_1700_Cont_OplHoev_5-N23)*100),1.5*_Neo_1700_Cont_OplHoev_5-N23),"")</f>
        <v/>
      </c>
      <c r="P23" s="162"/>
      <c r="Q23" s="162"/>
      <c r="R23" s="162"/>
    </row>
    <row r="24" spans="1:18" ht="9.9499999999999993" customHeight="1" x14ac:dyDescent="0.25">
      <c r="A24" s="253"/>
      <c r="B24" s="227"/>
      <c r="C24" s="227"/>
      <c r="D24" s="211"/>
      <c r="E24" s="211"/>
      <c r="F24" s="274"/>
      <c r="G24" s="211"/>
      <c r="H24" s="239"/>
      <c r="I24" s="211"/>
      <c r="J24" s="211"/>
      <c r="K24" s="212"/>
      <c r="L24" s="211"/>
      <c r="M24" s="211"/>
      <c r="N24" s="275"/>
      <c r="O24" s="276"/>
      <c r="P24" s="162"/>
      <c r="Q24" s="162"/>
      <c r="R24" s="162"/>
    </row>
    <row r="25" spans="1:18" ht="15.75" x14ac:dyDescent="0.25">
      <c r="A25" s="253">
        <v>6</v>
      </c>
      <c r="B25" s="277" t="str">
        <f>IF(NeoPrtWerkbr!C41&lt;&gt;"zijlijn",NeoPrtWerkbr!A41,"")</f>
        <v/>
      </c>
      <c r="C25" s="277"/>
      <c r="D25" s="190" t="str">
        <f>NeoPrtWerkbr!C41</f>
        <v/>
      </c>
      <c r="E25" s="191"/>
      <c r="F25" s="278" t="str">
        <f>IF(NeoPrtWerkbr!E41&lt;&gt;"",IF(D25&lt;&gt;"lidocaine",IF(NeoPrtWerkbr!M43&lt;25,NeoPrtWerkbr!E41*2,NeoPrtWerkbr!E41),NeoPrtWerkbr!E41*1.5),"")</f>
        <v/>
      </c>
      <c r="G25" s="191" t="str">
        <f>NeoPrtWerkbr!F41</f>
        <v>mg</v>
      </c>
      <c r="H25" s="279" t="str">
        <f>NeoPrtWerkbr!G41</f>
        <v>(</v>
      </c>
      <c r="I25" s="191" t="str">
        <f>NeoPrtWerkbr!H41</f>
        <v/>
      </c>
      <c r="J25" s="191" t="str">
        <f>NeoPrtWerkbr!I41</f>
        <v>mg=</v>
      </c>
      <c r="K25" s="191" t="str">
        <f>NeoPrtWerkbr!J41</f>
        <v/>
      </c>
      <c r="L25" s="191" t="str">
        <f>NeoPrtWerkbr!K41</f>
        <v>ml)</v>
      </c>
      <c r="M25" s="191"/>
      <c r="N25" s="280" t="str">
        <f>IF(B25&lt;&gt;"",IF(B25&gt;0,TRUNC((K25/I25)*F25),0),"")</f>
        <v/>
      </c>
      <c r="O25" s="281" t="str">
        <f>IF(B25&lt;&gt;"",(IF(B25&gt;0,ROUND((K25/I25)*F25,2),0)-N25)*100,"")</f>
        <v/>
      </c>
      <c r="P25" s="162"/>
      <c r="Q25" s="162"/>
      <c r="R25" s="162"/>
    </row>
    <row r="26" spans="1:18" ht="15.75" x14ac:dyDescent="0.25">
      <c r="A26" s="253"/>
      <c r="B26" s="277"/>
      <c r="C26" s="277"/>
      <c r="D26" s="282" t="str">
        <f>NeoPrtWerkbr!C43</f>
        <v/>
      </c>
      <c r="E26" s="162"/>
      <c r="F26" s="162" t="str">
        <f>NeoPrtWerkbr!E43</f>
        <v/>
      </c>
      <c r="G26" s="162"/>
      <c r="H26" s="283"/>
      <c r="I26" s="162"/>
      <c r="J26" s="162" t="str">
        <f>NeoPrtWerkbr!I42</f>
        <v>in</v>
      </c>
      <c r="K26" s="169" t="str">
        <f>IF(AND(D25&lt;&gt;"Nepresol (dihydralazine)",D25&lt;&gt;"Flolan (epoprostenol)"),NeoPrtWerkbr!J42,"NaCl 0,9%")</f>
        <v/>
      </c>
      <c r="L26" s="162"/>
      <c r="M26" s="162"/>
      <c r="N26" s="280" t="str">
        <f>IF(B25&lt;&gt;"",TRUNC(IF(B25&gt;0,N27+O27/100-N25-O25/100,0)),"")</f>
        <v/>
      </c>
      <c r="O26" s="281" t="str">
        <f>IF(B25&lt;&gt;"",(IF(B25&gt;0,N27+O27/100-N25-O25/100,0)-N26)*100,"")</f>
        <v/>
      </c>
      <c r="P26" s="162"/>
      <c r="Q26" s="162"/>
      <c r="R26" s="162"/>
    </row>
    <row r="27" spans="1:18" ht="15.75" x14ac:dyDescent="0.25">
      <c r="A27" s="253"/>
      <c r="B27" s="277"/>
      <c r="C27" s="277"/>
      <c r="D27" s="284" t="s">
        <v>527</v>
      </c>
      <c r="E27" s="285"/>
      <c r="F27" s="286" t="str">
        <f>IF(D25&lt;&gt;"",INDEX(Tbl_Neo_MedIV,NeoBerInfB!B28,2),"")</f>
        <v/>
      </c>
      <c r="G27" s="285"/>
      <c r="H27" s="297"/>
      <c r="I27" s="288"/>
      <c r="J27" s="288"/>
      <c r="K27" s="289" t="str">
        <f>NeoPrtWerkbr!J43</f>
        <v>Totaal</v>
      </c>
      <c r="L27" s="288"/>
      <c r="M27" s="288"/>
      <c r="N27" s="290" t="str">
        <f>IF(B25&lt;&gt;"",IF(D25&lt;&gt;"lidocaine",IF(_Neo_1700_Cont_OplHoev_6&lt;25,2*TRUNC(_Neo_1700_Cont_OplHoev_6),TRUNC(_Neo_1700_Cont_OplHoev_6)),TRUNC(_Neo_1700_Cont_OplHoev_6*1.5)),"")</f>
        <v/>
      </c>
      <c r="O27" s="291" t="str">
        <f>IF(B25&lt;&gt;"",IF(D25&lt;&gt;"lidocaine",IF(_Neo_1700_Cont_OplHoev_6&lt;25,(2*_Neo_1700_Cont_OplHoev_6-N27)*100,(_Neo_1700_Cont_OplHoev_6-N27)*100),1.5*_Neo_1700_Cont_OplHoev_6-N27),"")</f>
        <v/>
      </c>
      <c r="P27" s="162"/>
      <c r="Q27" s="162"/>
      <c r="R27" s="162"/>
    </row>
    <row r="28" spans="1:18" ht="9.9499999999999993" customHeight="1" x14ac:dyDescent="0.25">
      <c r="A28" s="253"/>
      <c r="B28" s="292"/>
      <c r="C28" s="292"/>
      <c r="D28" s="191"/>
      <c r="E28" s="191"/>
      <c r="F28" s="293"/>
      <c r="G28" s="191"/>
      <c r="H28" s="279"/>
      <c r="I28" s="191"/>
      <c r="J28" s="191"/>
      <c r="K28" s="278"/>
      <c r="L28" s="191"/>
      <c r="M28" s="191"/>
      <c r="N28" s="294"/>
      <c r="O28" s="295"/>
      <c r="P28" s="162"/>
      <c r="Q28" s="162"/>
      <c r="R28" s="162"/>
    </row>
    <row r="29" spans="1:18" ht="15.75" x14ac:dyDescent="0.25">
      <c r="A29" s="253">
        <v>7</v>
      </c>
      <c r="B29" s="254" t="str">
        <f>IF(NeoPrtWerkbr!C44&lt;&gt;"zijlijn",NeoPrtWerkbr!A44,"")</f>
        <v/>
      </c>
      <c r="C29" s="254"/>
      <c r="D29" s="255" t="str">
        <f>NeoPrtWerkbr!C44</f>
        <v/>
      </c>
      <c r="E29" s="256"/>
      <c r="F29" s="257" t="str">
        <f>IF(NeoPrtWerkbr!E44&lt;&gt;"",IF(D29&lt;&gt;"lidocaine",IF(NeoPrtWerkbr!M46&lt;25,NeoPrtWerkbr!E44*2,NeoPrtWerkbr!E44),NeoPrtWerkbr!E44*1.5),"")</f>
        <v/>
      </c>
      <c r="G29" s="256" t="str">
        <f>NeoPrtWerkbr!F44</f>
        <v>mg</v>
      </c>
      <c r="H29" s="258" t="str">
        <f>NeoPrtWerkbr!G44</f>
        <v>(</v>
      </c>
      <c r="I29" s="256" t="str">
        <f>NeoPrtWerkbr!H44</f>
        <v/>
      </c>
      <c r="J29" s="256" t="str">
        <f>NeoPrtWerkbr!I44</f>
        <v>mg=</v>
      </c>
      <c r="K29" s="256" t="str">
        <f>NeoPrtWerkbr!J44</f>
        <v/>
      </c>
      <c r="L29" s="256" t="str">
        <f>NeoPrtWerkbr!K44</f>
        <v>ml)</v>
      </c>
      <c r="M29" s="256"/>
      <c r="N29" s="259" t="str">
        <f>IF(B29&lt;&gt;"",IF(B29&gt;0,TRUNC((K29/I29)*F29),0),"")</f>
        <v/>
      </c>
      <c r="O29" s="260" t="str">
        <f>IF(B29&lt;&gt;"",(IF(B29&gt;0,ROUND((K29/I29)*F29,2),0)-N29)*100,"")</f>
        <v/>
      </c>
      <c r="P29" s="162"/>
      <c r="Q29" s="162"/>
      <c r="R29" s="162"/>
    </row>
    <row r="30" spans="1:18" ht="15.75" x14ac:dyDescent="0.25">
      <c r="A30" s="253"/>
      <c r="B30" s="254"/>
      <c r="C30" s="254"/>
      <c r="D30" s="261" t="str">
        <f>NeoPrtWerkbr!C46</f>
        <v/>
      </c>
      <c r="E30" s="262"/>
      <c r="F30" s="262" t="str">
        <f>NeoPrtWerkbr!E46</f>
        <v/>
      </c>
      <c r="G30" s="262"/>
      <c r="H30" s="263"/>
      <c r="I30" s="262"/>
      <c r="J30" s="262" t="str">
        <f>NeoPrtWerkbr!I45</f>
        <v>in</v>
      </c>
      <c r="K30" s="264" t="str">
        <f>IF(AND(D29&lt;&gt;"Nepresol (dihydralazine)",D29&lt;&gt;"Flolan (epoprostenol)"),NeoPrtWerkbr!J45,"NaCl 0,9%")</f>
        <v/>
      </c>
      <c r="L30" s="262"/>
      <c r="M30" s="262"/>
      <c r="N30" s="265" t="str">
        <f>IF(B29&lt;&gt;"",TRUNC(IF(B29&gt;0,N31+O31/100-N29-O29/100,0)),"")</f>
        <v/>
      </c>
      <c r="O30" s="266" t="str">
        <f>IF(B29&lt;&gt;"",(IF(B29&gt;0,N31+O31/100-N29-O29/100,0)-N30)*100,"")</f>
        <v/>
      </c>
      <c r="P30" s="162"/>
      <c r="Q30" s="162"/>
      <c r="R30" s="162"/>
    </row>
    <row r="31" spans="1:18" ht="15.75" x14ac:dyDescent="0.25">
      <c r="A31" s="253"/>
      <c r="B31" s="254"/>
      <c r="C31" s="254"/>
      <c r="D31" s="267" t="s">
        <v>527</v>
      </c>
      <c r="E31" s="268"/>
      <c r="F31" s="268" t="str">
        <f>IF(D29&lt;&gt;"",INDEX(Tbl_Neo_MedIV,NeoBerInfB!B29,2),"")</f>
        <v/>
      </c>
      <c r="G31" s="268"/>
      <c r="H31" s="270"/>
      <c r="I31" s="270"/>
      <c r="J31" s="270"/>
      <c r="K31" s="271" t="str">
        <f>NeoPrtWerkbr!J46</f>
        <v>Totaal</v>
      </c>
      <c r="L31" s="270"/>
      <c r="M31" s="270"/>
      <c r="N31" s="272" t="str">
        <f>IF(B29&lt;&gt;"",IF(D29&lt;&gt;"lidocaine",IF(_Neo_1700_Cont_OplHoev_7&lt;25,2*TRUNC(_Neo_1700_Cont_OplHoev_7),TRUNC(_Neo_1700_Cont_OplHoev_7)),TRUNC(_Neo_1700_Cont_OplHoev_7*1.5)),"")</f>
        <v/>
      </c>
      <c r="O31" s="273" t="str">
        <f>IF(B29&lt;&gt;"",IF(D29&lt;&gt;"lidocaine",IF(_Neo_1700_Cont_OplHoev_7&lt;25,(2*_Neo_1700_Cont_OplHoev_7-N31)*100,(_Neo_1700_Cont_OplHoev_7-N31)*100),1.5*_Neo_1700_Cont_OplHoev_7-N31),"")</f>
        <v/>
      </c>
      <c r="P31" s="162"/>
      <c r="Q31" s="162"/>
      <c r="R31" s="162"/>
    </row>
    <row r="32" spans="1:18" ht="9.9499999999999993" customHeight="1" x14ac:dyDescent="0.25">
      <c r="A32" s="253"/>
      <c r="B32" s="227"/>
      <c r="C32" s="227"/>
      <c r="D32" s="211"/>
      <c r="E32" s="211"/>
      <c r="F32" s="211"/>
      <c r="G32" s="211"/>
      <c r="H32" s="211"/>
      <c r="I32" s="211"/>
      <c r="J32" s="211"/>
      <c r="K32" s="212"/>
      <c r="L32" s="211"/>
      <c r="M32" s="211"/>
      <c r="N32" s="275"/>
      <c r="O32" s="276"/>
      <c r="P32" s="162"/>
      <c r="Q32" s="162"/>
      <c r="R32" s="162"/>
    </row>
    <row r="33" spans="1:18" ht="15.75" x14ac:dyDescent="0.25">
      <c r="A33" s="253">
        <v>8</v>
      </c>
      <c r="B33" s="277" t="str">
        <f>IF(NeoPrtWerkbr!C47&lt;&gt;"zijlijn",NeoPrtWerkbr!A47,"")</f>
        <v/>
      </c>
      <c r="C33" s="277"/>
      <c r="D33" s="190" t="str">
        <f>NeoPrtWerkbr!C47</f>
        <v/>
      </c>
      <c r="E33" s="191"/>
      <c r="F33" s="278" t="str">
        <f>IF(NeoPrtWerkbr!E47&lt;&gt;"",IF(D33&lt;&gt;"lidocaine",IF(NeoPrtWerkbr!M49&lt;25,NeoPrtWerkbr!E47*2,NeoPrtWerkbr!E47),NeoPrtWerkbr!E47*1.5),"")</f>
        <v/>
      </c>
      <c r="G33" s="191" t="str">
        <f>NeoPrtWerkbr!F47</f>
        <v>mg</v>
      </c>
      <c r="H33" s="279" t="str">
        <f>NeoPrtWerkbr!G47</f>
        <v>(</v>
      </c>
      <c r="I33" s="191" t="str">
        <f>NeoPrtWerkbr!H47</f>
        <v/>
      </c>
      <c r="J33" s="191" t="str">
        <f>NeoPrtWerkbr!I47</f>
        <v>mg=</v>
      </c>
      <c r="K33" s="191" t="str">
        <f>NeoPrtWerkbr!J47</f>
        <v/>
      </c>
      <c r="L33" s="191" t="str">
        <f>NeoPrtWerkbr!K47</f>
        <v>ml)</v>
      </c>
      <c r="M33" s="191"/>
      <c r="N33" s="280" t="str">
        <f>IF(B33&lt;&gt;"",IF(B33&gt;0,TRUNC((K33/I33)*F33),0),"")</f>
        <v/>
      </c>
      <c r="O33" s="281" t="str">
        <f>IF(B33&lt;&gt;"",(IF(B33&gt;0,ROUND((K33/I33)*F33,2),0)-N33)*100,"")</f>
        <v/>
      </c>
      <c r="P33" s="162"/>
      <c r="Q33" s="162"/>
      <c r="R33" s="162"/>
    </row>
    <row r="34" spans="1:18" ht="15.75" x14ac:dyDescent="0.25">
      <c r="A34" s="253"/>
      <c r="B34" s="277"/>
      <c r="C34" s="277"/>
      <c r="D34" s="282" t="str">
        <f>NeoPrtWerkbr!C49</f>
        <v/>
      </c>
      <c r="E34" s="162"/>
      <c r="F34" s="162" t="str">
        <f>NeoPrtWerkbr!E49</f>
        <v/>
      </c>
      <c r="G34" s="162"/>
      <c r="H34" s="283"/>
      <c r="I34" s="162"/>
      <c r="J34" s="162" t="str">
        <f>NeoPrtWerkbr!I48</f>
        <v>in</v>
      </c>
      <c r="K34" s="169" t="str">
        <f>IF(AND(D33&lt;&gt;"Nepresol (dihydralazine)",D33&lt;&gt;"Flolan (epoprostenol)"),NeoPrtWerkbr!J48,"NaCl 0,9%")</f>
        <v/>
      </c>
      <c r="L34" s="162"/>
      <c r="M34" s="162"/>
      <c r="N34" s="280" t="str">
        <f>IF(B33&lt;&gt;"",TRUNC(IF(B33&gt;0,N35+O35/100-N33-O33/100,0)),"")</f>
        <v/>
      </c>
      <c r="O34" s="281" t="str">
        <f>IF(B33&lt;&gt;"",(IF(B33&gt;0,N35+O35/100-N33-O33/100,0)-N34)*100,"")</f>
        <v/>
      </c>
      <c r="P34" s="162"/>
      <c r="Q34" s="162"/>
      <c r="R34" s="162"/>
    </row>
    <row r="35" spans="1:18" ht="15.75" x14ac:dyDescent="0.25">
      <c r="A35" s="253"/>
      <c r="B35" s="277"/>
      <c r="C35" s="277"/>
      <c r="D35" s="284" t="s">
        <v>527</v>
      </c>
      <c r="E35" s="285"/>
      <c r="F35" s="285" t="str">
        <f>IF(D33&lt;&gt;"",INDEX(Tbl_Neo_MedIV,NeoBerInfB!B30,2),"")</f>
        <v/>
      </c>
      <c r="G35" s="285"/>
      <c r="H35" s="288"/>
      <c r="I35" s="288"/>
      <c r="J35" s="288"/>
      <c r="K35" s="289" t="str">
        <f>NeoPrtWerkbr!J49</f>
        <v>Totaal</v>
      </c>
      <c r="L35" s="288"/>
      <c r="M35" s="288"/>
      <c r="N35" s="290" t="str">
        <f>IF(B33&lt;&gt;"",IF(D33&lt;&gt;"lidocaine",IF(_Neo_1700_Cont_OplHoev_8&lt;25,2*TRUNC(_Neo_1700_Cont_OplHoev_8),TRUNC(_Neo_1700_Cont_OplHoev_8)),TRUNC(_Neo_1700_Cont_OplHoev_8*1.5)),"")</f>
        <v/>
      </c>
      <c r="O35" s="291" t="str">
        <f>IF(B33&lt;&gt;"",IF(D33&lt;&gt;"lidocaine",IF(_Neo_1700_Cont_OplHoev_8&lt;25,(2*_Neo_1700_Cont_OplHoev_8-N35)*100,(_Neo_1700_Cont_OplHoev_8-N35)*100),1.5*_Neo_1700_Cont_OplHoev_8-N35),"")</f>
        <v/>
      </c>
      <c r="P35" s="162"/>
      <c r="Q35" s="162"/>
      <c r="R35" s="162"/>
    </row>
    <row r="36" spans="1:18" ht="9.9499999999999993" customHeight="1" x14ac:dyDescent="0.25">
      <c r="A36" s="253"/>
      <c r="B36" s="292"/>
      <c r="C36" s="292"/>
      <c r="D36" s="191"/>
      <c r="E36" s="191"/>
      <c r="F36" s="191"/>
      <c r="G36" s="191"/>
      <c r="H36" s="191"/>
      <c r="I36" s="191"/>
      <c r="J36" s="191"/>
      <c r="K36" s="278"/>
      <c r="L36" s="191"/>
      <c r="M36" s="191"/>
      <c r="N36" s="294"/>
      <c r="O36" s="295"/>
      <c r="P36" s="162"/>
      <c r="Q36" s="162"/>
      <c r="R36" s="162"/>
    </row>
    <row r="37" spans="1:18" ht="15.75" x14ac:dyDescent="0.25">
      <c r="A37" s="253">
        <v>9</v>
      </c>
      <c r="B37" s="254" t="str">
        <f>IF(NeoPrtWerkbr!C50&lt;&gt;"zijlijn",NeoPrtWerkbr!A50,"")</f>
        <v/>
      </c>
      <c r="C37" s="254"/>
      <c r="D37" s="255" t="str">
        <f>NeoPrtWerkbr!C50</f>
        <v/>
      </c>
      <c r="E37" s="256"/>
      <c r="F37" s="257" t="str">
        <f>IF(NeoPrtWerkbr!E50&lt;&gt;"",IF(D37&lt;&gt;"lidocaine",IF(NeoPrtWerkbr!M52&lt;25,NeoPrtWerkbr!E50*2,NeoPrtWerkbr!E50),NeoPrtWerkbr!E50*1.5),"")</f>
        <v/>
      </c>
      <c r="G37" s="256" t="str">
        <f>NeoPrtWerkbr!F50</f>
        <v>mg</v>
      </c>
      <c r="H37" s="258" t="str">
        <f>NeoPrtWerkbr!G50</f>
        <v>(</v>
      </c>
      <c r="I37" s="256" t="str">
        <f>NeoPrtWerkbr!H50</f>
        <v/>
      </c>
      <c r="J37" s="256" t="str">
        <f>NeoPrtWerkbr!I50</f>
        <v>mg=</v>
      </c>
      <c r="K37" s="256" t="str">
        <f>NeoPrtWerkbr!J50</f>
        <v/>
      </c>
      <c r="L37" s="256" t="str">
        <f>NeoPrtWerkbr!K50</f>
        <v>ml)</v>
      </c>
      <c r="M37" s="256"/>
      <c r="N37" s="259" t="str">
        <f>IF(B37&lt;&gt;"",IF(B37&gt;0,TRUNC((K37/I37)*F37),0),"")</f>
        <v/>
      </c>
      <c r="O37" s="260" t="str">
        <f>IF(B37&lt;&gt;"",(IF(B37&gt;0,ROUND((K37/I37)*F37,2),0)-N37)*100,"")</f>
        <v/>
      </c>
      <c r="P37" s="162"/>
      <c r="Q37" s="162"/>
      <c r="R37" s="162"/>
    </row>
    <row r="38" spans="1:18" ht="15.75" x14ac:dyDescent="0.25">
      <c r="A38" s="253"/>
      <c r="B38" s="254"/>
      <c r="C38" s="254"/>
      <c r="D38" s="261" t="str">
        <f>NeoPrtWerkbr!C52</f>
        <v/>
      </c>
      <c r="E38" s="262"/>
      <c r="F38" s="262" t="str">
        <f>NeoPrtWerkbr!E52</f>
        <v/>
      </c>
      <c r="G38" s="262"/>
      <c r="H38" s="263"/>
      <c r="I38" s="262"/>
      <c r="J38" s="262" t="str">
        <f>NeoPrtWerkbr!I51</f>
        <v>in</v>
      </c>
      <c r="K38" s="264" t="str">
        <f>IF(AND(D37&lt;&gt;"Nepresol (dihydralazine)",D37&lt;&gt;"Flolan (epoprostenol)"),NeoPrtWerkbr!J51,"NaCl 0,9%")</f>
        <v/>
      </c>
      <c r="L38" s="262"/>
      <c r="M38" s="262"/>
      <c r="N38" s="265" t="str">
        <f>IF(B37&lt;&gt;"",TRUNC(IF(B37&gt;0,N39+O39/100-N37-O37/100,0)),"")</f>
        <v/>
      </c>
      <c r="O38" s="266" t="str">
        <f>IF(B37&lt;&gt;"",(IF(B37&gt;0,N39+O39/100-N37-O37/100,0)-N38)*100,"")</f>
        <v/>
      </c>
      <c r="P38" s="162"/>
      <c r="Q38" s="162"/>
      <c r="R38" s="162"/>
    </row>
    <row r="39" spans="1:18" ht="15.75" x14ac:dyDescent="0.25">
      <c r="A39" s="253"/>
      <c r="B39" s="254"/>
      <c r="C39" s="254"/>
      <c r="D39" s="267" t="s">
        <v>527</v>
      </c>
      <c r="E39" s="268"/>
      <c r="F39" s="268" t="str">
        <f>IF(D37&lt;&gt;"",INDEX(Tbl_Neo_MedIV,NeoBerInfB!B31,2),"")</f>
        <v/>
      </c>
      <c r="G39" s="268"/>
      <c r="H39" s="270"/>
      <c r="I39" s="270"/>
      <c r="J39" s="270"/>
      <c r="K39" s="271" t="str">
        <f>NeoPrtWerkbr!J52</f>
        <v>Totaal</v>
      </c>
      <c r="L39" s="270"/>
      <c r="M39" s="270"/>
      <c r="N39" s="272" t="str">
        <f>IF(B37&lt;&gt;"",IF(D37&lt;&gt;"lidocaine",IF(_Neo_1700_Cont_OplHoev_9&lt;25,2*TRUNC(_Neo_1700_Cont_OplHoev_9),TRUNC(_Neo_1700_Cont_OplHoev_9)),TRUNC(_Neo_1700_Cont_OplHoev_9*1.5)),"")</f>
        <v/>
      </c>
      <c r="O39" s="273" t="str">
        <f>IF(B37&lt;&gt;"",IF(D37&lt;&gt;"lidocaine",IF(_Neo_1700_Cont_OplHoev_9&lt;25,(2*_Neo_1700_Cont_OplHoev_9-N39)*100,(_Neo_1700_Cont_OplHoev_9-N39)*100),1.5*_Neo_1700_Cont_OplHoev_9-N39),"")</f>
        <v/>
      </c>
      <c r="P39" s="162"/>
      <c r="Q39" s="162"/>
      <c r="R39" s="162"/>
    </row>
    <row r="40" spans="1:18" ht="9.75" customHeight="1" x14ac:dyDescent="0.2">
      <c r="A40" s="253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283"/>
      <c r="O40" s="298"/>
      <c r="P40" s="162"/>
      <c r="Q40" s="162"/>
      <c r="R40" s="162"/>
    </row>
    <row r="41" spans="1:18" ht="14.25" x14ac:dyDescent="0.2">
      <c r="A41" s="253">
        <v>10</v>
      </c>
      <c r="B41" s="193" t="str">
        <f>NeoPrtAfspr!B45</f>
        <v/>
      </c>
      <c r="C41" s="195"/>
      <c r="D41" s="299"/>
      <c r="E41" s="195"/>
      <c r="F41" s="195"/>
      <c r="G41" s="195"/>
      <c r="H41" s="298"/>
      <c r="I41" s="195"/>
      <c r="J41" s="195"/>
      <c r="K41" s="195"/>
      <c r="L41" s="195"/>
      <c r="M41" s="195"/>
      <c r="N41" s="298"/>
      <c r="O41" s="300"/>
      <c r="P41" s="162"/>
      <c r="Q41" s="162"/>
      <c r="R41" s="162"/>
    </row>
    <row r="42" spans="1:18" ht="14.25" x14ac:dyDescent="0.2">
      <c r="A42" s="253">
        <v>11</v>
      </c>
      <c r="B42" s="193" t="str">
        <f>NeoPrtAfspr!B46</f>
        <v/>
      </c>
      <c r="C42" s="195"/>
      <c r="D42" s="299"/>
      <c r="E42" s="195"/>
      <c r="F42" s="195"/>
      <c r="G42" s="195"/>
      <c r="H42" s="298"/>
      <c r="I42" s="195"/>
      <c r="J42" s="195"/>
      <c r="K42" s="195"/>
      <c r="L42" s="195"/>
      <c r="M42" s="195"/>
      <c r="N42" s="298"/>
      <c r="O42" s="300"/>
      <c r="P42" s="162"/>
      <c r="Q42" s="162"/>
      <c r="R42" s="162"/>
    </row>
    <row r="43" spans="1:18" ht="14.25" x14ac:dyDescent="0.2">
      <c r="A43" s="253">
        <v>12</v>
      </c>
      <c r="B43" s="193">
        <f>NeoPrtAfspr!B47</f>
        <v>0</v>
      </c>
      <c r="C43" s="195"/>
      <c r="D43" s="299"/>
      <c r="E43" s="195"/>
      <c r="F43" s="195"/>
      <c r="G43" s="195"/>
      <c r="H43" s="298"/>
      <c r="I43" s="195"/>
      <c r="J43" s="195"/>
      <c r="K43" s="195"/>
      <c r="L43" s="195"/>
      <c r="M43" s="195"/>
      <c r="N43" s="298"/>
      <c r="O43" s="300"/>
      <c r="P43" s="162"/>
      <c r="Q43" s="162"/>
      <c r="R43" s="162"/>
    </row>
    <row r="44" spans="1:18" x14ac:dyDescent="0.2">
      <c r="B44" s="162"/>
      <c r="C44" s="162"/>
      <c r="D44" s="168"/>
      <c r="E44" s="162"/>
      <c r="F44" s="162"/>
      <c r="G44" s="162"/>
      <c r="H44" s="283"/>
      <c r="I44" s="162"/>
      <c r="J44" s="162"/>
      <c r="K44" s="162"/>
      <c r="L44" s="162"/>
      <c r="M44" s="162"/>
      <c r="N44" s="283"/>
      <c r="O44" s="283"/>
      <c r="P44" s="162"/>
      <c r="Q44" s="162"/>
      <c r="R44" s="162"/>
    </row>
    <row r="45" spans="1:18" x14ac:dyDescent="0.2">
      <c r="B45" s="162"/>
      <c r="C45" s="162"/>
      <c r="D45" s="168"/>
      <c r="E45" s="162"/>
      <c r="F45" s="162"/>
      <c r="G45" s="162"/>
      <c r="H45" s="283"/>
      <c r="I45" s="162"/>
      <c r="J45" s="162"/>
      <c r="K45" s="162"/>
      <c r="L45" s="162"/>
      <c r="M45" s="162"/>
      <c r="N45" s="283"/>
      <c r="O45" s="283"/>
      <c r="P45" s="162"/>
      <c r="Q45" s="162"/>
      <c r="R45" s="162"/>
    </row>
    <row r="47" spans="1:18" s="203" customFormat="1" ht="9.75" customHeight="1" x14ac:dyDescent="0.2">
      <c r="A47" s="962">
        <f ca="1">TODAY()</f>
        <v>42751</v>
      </c>
      <c r="B47" s="962"/>
      <c r="C47" s="203" t="str">
        <f>"Bed "&amp;__1_Bed</f>
        <v xml:space="preserve">Bed </v>
      </c>
      <c r="E47" s="203">
        <v>1</v>
      </c>
      <c r="G47" s="962">
        <f ca="1">TODAY()</f>
        <v>42751</v>
      </c>
      <c r="H47" s="962"/>
      <c r="I47" s="203" t="str">
        <f>"Bed "&amp;__1_Bed</f>
        <v xml:space="preserve">Bed </v>
      </c>
      <c r="K47" s="203">
        <v>2</v>
      </c>
      <c r="M47" s="962">
        <f ca="1">TODAY()</f>
        <v>42751</v>
      </c>
      <c r="N47" s="963"/>
      <c r="O47" s="203" t="str">
        <f>"Bed "&amp;__1_Bed</f>
        <v xml:space="preserve">Bed </v>
      </c>
      <c r="Q47" s="203">
        <v>3</v>
      </c>
    </row>
    <row r="48" spans="1:18" ht="9.9499999999999993" customHeight="1" x14ac:dyDescent="0.2">
      <c r="A48" s="301" t="str">
        <f>IF(D5&lt;&gt;"",__3_VoorNaam&amp;" "&amp;__2_AchterNaam,"")</f>
        <v xml:space="preserve"> </v>
      </c>
      <c r="B48" s="203"/>
      <c r="C48" s="203"/>
      <c r="E48" s="203"/>
      <c r="F48" s="203"/>
      <c r="G48" s="301" t="str">
        <f>IF(D9&lt;&gt;"",__3_VoorNaam&amp;" "&amp;__2_AchterNaam,"")</f>
        <v/>
      </c>
      <c r="H48" s="203"/>
      <c r="I48" s="203"/>
      <c r="J48" s="203"/>
      <c r="K48" s="203"/>
      <c r="L48" s="203"/>
      <c r="M48" s="301" t="str">
        <f>IF(D13&lt;&gt;"",__3_VoorNaam&amp;" "&amp;__2_AchterNaam,"")</f>
        <v/>
      </c>
      <c r="N48" s="203"/>
      <c r="O48" s="203"/>
      <c r="P48" s="203"/>
      <c r="Q48" s="203"/>
    </row>
    <row r="49" spans="1:18" ht="9.9499999999999993" customHeight="1" x14ac:dyDescent="0.2">
      <c r="A49" s="203" t="str">
        <f>IF(D5&lt;&gt;"",D5&amp;" "&amp;NeoPrtWerkbr!E26&amp;" "&amp;G5,"")</f>
        <v>dopamine 200 mg</v>
      </c>
      <c r="B49" s="203"/>
      <c r="C49" s="203"/>
      <c r="E49" s="203"/>
      <c r="F49" s="203"/>
      <c r="G49" s="203" t="str">
        <f>IF(D9&lt;&gt;"",D9&amp;" "&amp;NeoPrtWerkbr!E29&amp;" "&amp;G9,"")</f>
        <v/>
      </c>
      <c r="H49" s="203"/>
      <c r="I49" s="203"/>
      <c r="K49" s="203"/>
      <c r="L49" s="203"/>
      <c r="M49" s="203" t="str">
        <f>IF(D13&lt;&gt;"",D13&amp;" "&amp;NeoPrtWerkbr!E32&amp;" "&amp;G13,"")</f>
        <v/>
      </c>
      <c r="N49" s="203"/>
      <c r="O49" s="203"/>
      <c r="Q49" s="203"/>
    </row>
    <row r="50" spans="1:18" ht="9.9499999999999993" customHeight="1" x14ac:dyDescent="0.2">
      <c r="A50" s="302" t="str">
        <f>NeoPrtAfspr!G33&amp;" "&amp;K6</f>
        <v>in 50 ml glucose 10%</v>
      </c>
      <c r="B50" s="302"/>
      <c r="C50" s="302"/>
      <c r="D50" s="203" t="str">
        <f>IF(_Neo_1700_Cont_OplHoev_1&gt;0,"("&amp;N7-_Neo_1700_Cont_OplHoev_1&amp;" ml extra)","")</f>
        <v/>
      </c>
      <c r="E50" s="302"/>
      <c r="F50" s="203"/>
      <c r="G50" s="203" t="str">
        <f>NeoPrtAfspr!G34&amp;" "&amp;K10</f>
        <v xml:space="preserve"> </v>
      </c>
      <c r="H50" s="203"/>
      <c r="I50" s="203"/>
      <c r="J50" s="203" t="str">
        <f>IF(_Neo_1700_Cont_OplHoev_2&gt;0,"("&amp;N11-_Neo_1700_Cont_OplHoev_2&amp;" ml extra)","")</f>
        <v/>
      </c>
      <c r="K50" s="203"/>
      <c r="L50" s="203"/>
      <c r="M50" s="203" t="str">
        <f>NeoPrtAfspr!G35&amp;" "&amp;K14</f>
        <v xml:space="preserve"> </v>
      </c>
      <c r="N50" s="203"/>
      <c r="O50" s="203"/>
      <c r="P50" s="203" t="str">
        <f>IF(_Neo_1700_Cont_OplHoev_3&gt;0,"("&amp;N15-_Neo_1700_Cont_OplHoev_3&amp;" ml extra)","")</f>
        <v/>
      </c>
      <c r="Q50" s="203"/>
    </row>
    <row r="51" spans="1:18" ht="9.9499999999999993" customHeight="1" x14ac:dyDescent="0.2">
      <c r="A51" s="203" t="str">
        <f>IF(D6&lt;&gt;"",D6,"")</f>
        <v>1 ml/uur</v>
      </c>
      <c r="B51" s="203"/>
      <c r="C51" s="203" t="str">
        <f>F6</f>
        <v xml:space="preserve"> = 0 microg/kg/min</v>
      </c>
      <c r="D51" s="203"/>
      <c r="E51" s="203"/>
      <c r="F51" s="203"/>
      <c r="G51" s="203" t="str">
        <f>IF(D10&lt;&gt;"",D10,"")</f>
        <v/>
      </c>
      <c r="H51" s="203"/>
      <c r="I51" s="203" t="str">
        <f>IF(F10&lt;&gt;"",F10,"")</f>
        <v/>
      </c>
      <c r="J51" s="203"/>
      <c r="K51" s="203"/>
      <c r="L51" s="203"/>
      <c r="M51" s="203" t="str">
        <f>IF(D14&lt;&gt;"",$D$14,"")</f>
        <v/>
      </c>
      <c r="N51" s="203"/>
      <c r="O51" s="203" t="str">
        <f>IF(F14&lt;&gt;"",$F$14,"")</f>
        <v/>
      </c>
      <c r="P51" s="203"/>
      <c r="Q51" s="203"/>
    </row>
    <row r="52" spans="1:18" ht="9.9499999999999993" customHeight="1" x14ac:dyDescent="0.2">
      <c r="A52" s="203"/>
      <c r="B52" s="203"/>
      <c r="D52" s="203" t="str">
        <f>"Exp: "</f>
        <v xml:space="preserve">Exp: </v>
      </c>
      <c r="E52" s="962">
        <f ca="1">TODAY()+1</f>
        <v>42752</v>
      </c>
      <c r="F52" s="962"/>
      <c r="G52" s="203"/>
      <c r="H52" s="203"/>
      <c r="I52" s="203"/>
      <c r="J52" s="203" t="str">
        <f>"Exp: "</f>
        <v xml:space="preserve">Exp: </v>
      </c>
      <c r="K52" s="962">
        <f ca="1">TODAY()+1</f>
        <v>42752</v>
      </c>
      <c r="L52" s="962"/>
      <c r="M52" s="203"/>
      <c r="N52" s="203"/>
      <c r="O52" s="203"/>
      <c r="P52" s="203" t="str">
        <f>"Exp: "</f>
        <v xml:space="preserve">Exp: </v>
      </c>
      <c r="Q52" s="962">
        <f ca="1">TODAY()+1</f>
        <v>42752</v>
      </c>
      <c r="R52" s="962"/>
    </row>
    <row r="53" spans="1:18" ht="9.9499999999999993" customHeight="1" x14ac:dyDescent="0.2"/>
    <row r="54" spans="1:18" ht="9.9499999999999993" customHeight="1" x14ac:dyDescent="0.2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203"/>
      <c r="M54" s="203"/>
      <c r="N54" s="203"/>
      <c r="O54" s="203"/>
      <c r="P54" s="203"/>
      <c r="Q54" s="203"/>
    </row>
    <row r="55" spans="1:18" ht="9.9499999999999993" customHeight="1" x14ac:dyDescent="0.2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203"/>
      <c r="M55" s="203"/>
      <c r="N55" s="203"/>
      <c r="O55" s="203"/>
      <c r="P55" s="203"/>
      <c r="Q55" s="203"/>
    </row>
    <row r="56" spans="1:18" ht="9.9499999999999993" customHeight="1" x14ac:dyDescent="0.2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203"/>
      <c r="M56" s="203"/>
      <c r="N56" s="203"/>
      <c r="O56" s="203"/>
      <c r="P56" s="203"/>
      <c r="Q56" s="203"/>
    </row>
    <row r="57" spans="1:18" ht="15.75" customHeight="1" x14ac:dyDescent="0.2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</row>
    <row r="58" spans="1:18" ht="9.75" customHeight="1" x14ac:dyDescent="0.2">
      <c r="A58" s="962">
        <f ca="1">TODAY()</f>
        <v>42751</v>
      </c>
      <c r="B58" s="963"/>
      <c r="C58" s="203" t="str">
        <f>"Bed "&amp;__1_Bed</f>
        <v xml:space="preserve">Bed </v>
      </c>
      <c r="D58" s="203"/>
      <c r="E58" s="203">
        <v>4</v>
      </c>
      <c r="F58" s="203"/>
      <c r="G58" s="962">
        <f ca="1">TODAY()</f>
        <v>42751</v>
      </c>
      <c r="H58" s="963"/>
      <c r="I58" s="203" t="str">
        <f>"Bed "&amp;__1_Bed</f>
        <v xml:space="preserve">Bed </v>
      </c>
      <c r="J58" s="203"/>
      <c r="K58" s="203">
        <v>5</v>
      </c>
      <c r="L58" s="203"/>
      <c r="M58" s="962">
        <f ca="1">TODAY()</f>
        <v>42751</v>
      </c>
      <c r="N58" s="963"/>
      <c r="O58" s="203" t="str">
        <f>"Bed "&amp;__1_Bed</f>
        <v xml:space="preserve">Bed </v>
      </c>
      <c r="P58" s="203"/>
      <c r="Q58" s="203">
        <v>6</v>
      </c>
    </row>
    <row r="59" spans="1:18" ht="9.9499999999999993" customHeight="1" x14ac:dyDescent="0.2">
      <c r="A59" s="301" t="str">
        <f>IF(D17&lt;&gt;"",__3_VoorNaam&amp;" "&amp;__2_AchterNaam,"")</f>
        <v/>
      </c>
      <c r="B59" s="203"/>
      <c r="C59" s="203"/>
      <c r="D59" s="203"/>
      <c r="E59" s="203"/>
      <c r="F59" s="203"/>
      <c r="G59" s="301" t="str">
        <f>IF(D21&lt;&gt;"",__3_VoorNaam&amp;" "&amp;__2_AchterNaam,"")</f>
        <v/>
      </c>
      <c r="H59" s="203"/>
      <c r="I59" s="203"/>
      <c r="J59" s="203"/>
      <c r="K59" s="203"/>
      <c r="L59" s="203"/>
      <c r="M59" s="301" t="str">
        <f>IF(D25&lt;&gt;"",__3_VoorNaam&amp;" "&amp;__2_AchterNaam,"")</f>
        <v/>
      </c>
      <c r="N59" s="203"/>
      <c r="O59" s="203"/>
      <c r="P59" s="203"/>
      <c r="Q59" s="203"/>
    </row>
    <row r="60" spans="1:18" ht="9.9499999999999993" customHeight="1" x14ac:dyDescent="0.2">
      <c r="A60" s="203" t="str">
        <f>IF(D17&lt;&gt;"",D17&amp;" "&amp;NeoPrtWerkbr!E35&amp;" "&amp;G17,"")</f>
        <v/>
      </c>
      <c r="B60" s="203"/>
      <c r="C60" s="203"/>
      <c r="E60" s="203"/>
      <c r="F60" s="203"/>
      <c r="G60" s="203" t="str">
        <f>IF(D21&lt;&gt;"",D21&amp;" "&amp;NeoPrtWerkbr!E38&amp;" "&amp;G21,"")</f>
        <v/>
      </c>
      <c r="H60" s="203"/>
      <c r="I60" s="203"/>
      <c r="K60" s="203"/>
      <c r="L60" s="203"/>
      <c r="M60" s="203" t="str">
        <f>IF(D25&lt;&gt;"",D25&amp;" "&amp;NeoPrtWerkbr!E41&amp;" "&amp;G25,"")</f>
        <v/>
      </c>
      <c r="N60" s="203"/>
      <c r="O60" s="203"/>
      <c r="Q60" s="203"/>
    </row>
    <row r="61" spans="1:18" ht="9.9499999999999993" customHeight="1" x14ac:dyDescent="0.2">
      <c r="A61" s="203" t="str">
        <f>NeoPrtAfspr!G36&amp;" "&amp;K18</f>
        <v xml:space="preserve"> </v>
      </c>
      <c r="B61" s="203"/>
      <c r="C61" s="203"/>
      <c r="D61" s="203" t="str">
        <f>IF(_Neo_1700_Cont_OplHoev_4&gt;0,"("&amp;N19-_Neo_1700_Cont_OplHoev_4&amp;" ml extra)","")</f>
        <v/>
      </c>
      <c r="E61" s="203"/>
      <c r="F61" s="203"/>
      <c r="G61" s="203" t="str">
        <f>NeoPrtAfspr!G37&amp;" "&amp;K22</f>
        <v xml:space="preserve"> </v>
      </c>
      <c r="H61" s="203"/>
      <c r="I61" s="203"/>
      <c r="J61" s="203" t="str">
        <f>IF(_Neo_1700_Cont_OplHoev_5&gt;0,"("&amp;N23-_Neo_1700_Cont_OplHoev_5&amp;" ml extra)","")</f>
        <v/>
      </c>
      <c r="K61" s="203"/>
      <c r="L61" s="203"/>
      <c r="M61" s="203" t="str">
        <f>NeoPrtAfspr!G38&amp;" "&amp;K26</f>
        <v xml:space="preserve"> </v>
      </c>
      <c r="N61" s="203"/>
      <c r="O61" s="203"/>
      <c r="P61" s="203" t="str">
        <f>IF(_Neo_1700_Cont_OplHoev_6&gt;0,"("&amp;N27-_Neo_1700_Cont_OplHoev_6&amp;" ml extra)","")</f>
        <v/>
      </c>
      <c r="Q61" s="203"/>
    </row>
    <row r="62" spans="1:18" ht="9.9499999999999993" customHeight="1" x14ac:dyDescent="0.2">
      <c r="A62" s="203" t="str">
        <f>IF(D18&lt;&gt;"",D18,"")</f>
        <v/>
      </c>
      <c r="B62" s="203"/>
      <c r="C62" s="203" t="str">
        <f>F18</f>
        <v/>
      </c>
      <c r="D62" s="203"/>
      <c r="E62" s="203"/>
      <c r="F62" s="203"/>
      <c r="G62" s="203" t="str">
        <f>IF(D22&lt;&gt;"",D22,"")</f>
        <v/>
      </c>
      <c r="H62" s="203"/>
      <c r="I62" s="203" t="str">
        <f>IF(F22&lt;&gt;"",F22,"")</f>
        <v/>
      </c>
      <c r="J62" s="203"/>
      <c r="K62" s="203"/>
      <c r="L62" s="203"/>
      <c r="M62" s="203" t="str">
        <f>IF(D26&lt;&gt;"",$D$26,"")</f>
        <v/>
      </c>
      <c r="N62" s="203"/>
      <c r="O62" s="203" t="str">
        <f>IF(F26&lt;&gt;"",$F$26,"")</f>
        <v/>
      </c>
      <c r="P62" s="203"/>
      <c r="Q62" s="203"/>
    </row>
    <row r="63" spans="1:18" ht="9.9499999999999993" customHeight="1" x14ac:dyDescent="0.2">
      <c r="A63" s="203"/>
      <c r="B63" s="203"/>
      <c r="C63" s="203"/>
      <c r="D63" s="203" t="str">
        <f>"Exp: "</f>
        <v xml:space="preserve">Exp: </v>
      </c>
      <c r="E63" s="962">
        <f ca="1">TODAY()+1</f>
        <v>42752</v>
      </c>
      <c r="F63" s="962"/>
      <c r="G63" s="203"/>
      <c r="H63" s="203"/>
      <c r="I63" s="203"/>
      <c r="J63" s="203" t="str">
        <f>"Exp: "</f>
        <v xml:space="preserve">Exp: </v>
      </c>
      <c r="K63" s="962">
        <f ca="1">TODAY()+1</f>
        <v>42752</v>
      </c>
      <c r="L63" s="962"/>
      <c r="M63" s="203"/>
      <c r="N63" s="203"/>
      <c r="O63" s="203"/>
      <c r="P63" s="203" t="str">
        <f>"Exp: "</f>
        <v xml:space="preserve">Exp: </v>
      </c>
      <c r="Q63" s="962">
        <f ca="1">TODAY()+1</f>
        <v>42752</v>
      </c>
      <c r="R63" s="962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436"/>
    </row>
  </sheetData>
  <sheetProtection password="CC20" sheet="1" objects="1" scenarios="1"/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</vt:i4>
      </vt:variant>
      <vt:variant>
        <vt:lpstr>Named Ranges</vt:lpstr>
      </vt:variant>
      <vt:variant>
        <vt:i4>1870</vt:i4>
      </vt:variant>
    </vt:vector>
  </HeadingPairs>
  <TitlesOfParts>
    <vt:vector size="1933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_Neo_1700_Cont_MedKeuze_1</vt:lpstr>
      <vt:lpstr>_Neo_1700_Cont_MedKeuze_2</vt:lpstr>
      <vt:lpstr>_Neo_1700_Cont_MedKeuze_3</vt:lpstr>
      <vt:lpstr>_Neo_1700_Cont_MedKeuze_4</vt:lpstr>
      <vt:lpstr>_Neo_1700_Cont_MedKeuze_5</vt:lpstr>
      <vt:lpstr>_Neo_1700_Cont_MedKeuze_6</vt:lpstr>
      <vt:lpstr>_Neo_1700_Cont_MedKeuze_7</vt:lpstr>
      <vt:lpstr>_Neo_1700_Cont_MedKeuze_8</vt:lpstr>
      <vt:lpstr>_Neo_1700_Cont_MedKeuze_9</vt:lpstr>
      <vt:lpstr>_Neo_1700_Cont_MedSterkte_1</vt:lpstr>
      <vt:lpstr>_Neo_1700_Cont_MedSterkte_2</vt:lpstr>
      <vt:lpstr>_Neo_1700_Cont_MedSterkte_3</vt:lpstr>
      <vt:lpstr>_Neo_1700_Cont_MedSterkte_4</vt:lpstr>
      <vt:lpstr>_Neo_1700_Cont_MedSterkte_5</vt:lpstr>
      <vt:lpstr>_Neo_1700_Cont_MedSterkte_6</vt:lpstr>
      <vt:lpstr>_Neo_1700_Cont_MedSterkte_7</vt:lpstr>
      <vt:lpstr>_Neo_1700_Cont_MedSterkte_8</vt:lpstr>
      <vt:lpstr>_Neo_1700_Cont_MedSterkte_9</vt:lpstr>
      <vt:lpstr>_Neo_1700_Cont_MedTekst_1</vt:lpstr>
      <vt:lpstr>_Neo_1700_Cont_MedTekst_2</vt:lpstr>
      <vt:lpstr>_Neo_1700_Cont_OplHoev_1</vt:lpstr>
      <vt:lpstr>_Neo_1700_Cont_OplHoev_2</vt:lpstr>
      <vt:lpstr>_Neo_1700_Cont_OplHoev_3</vt:lpstr>
      <vt:lpstr>_Neo_1700_Cont_OplHoev_4</vt:lpstr>
      <vt:lpstr>_Neo_1700_Cont_OplHoev_5</vt:lpstr>
      <vt:lpstr>_Neo_1700_Cont_OplHoev_6</vt:lpstr>
      <vt:lpstr>_Neo_1700_Cont_OplHoev_7</vt:lpstr>
      <vt:lpstr>_Neo_1700_Cont_OplHoev_8</vt:lpstr>
      <vt:lpstr>_Neo_1700_Cont_OplHoev_9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_Neo_InfB_Cont_MedKeuze_1</vt:lpstr>
      <vt:lpstr>_Neo_InfB_Cont_MedKeuze_2</vt:lpstr>
      <vt:lpstr>_Neo_InfB_Cont_MedKeuze_3</vt:lpstr>
      <vt:lpstr>_Neo_InfB_Cont_MedKeuze_4</vt:lpstr>
      <vt:lpstr>_Neo_InfB_Cont_MedKeuze_5</vt:lpstr>
      <vt:lpstr>_Neo_InfB_Cont_MedKeuze_6</vt:lpstr>
      <vt:lpstr>_Neo_InfB_Cont_MedKeuze_7</vt:lpstr>
      <vt:lpstr>_Neo_InfB_Cont_MedKeuze_8</vt:lpstr>
      <vt:lpstr>_Neo_InfB_Cont_MedKeuze_9</vt:lpstr>
      <vt:lpstr>_Neo_InfB_Cont_MedSterkte_1</vt:lpstr>
      <vt:lpstr>_Neo_InfB_Cont_MedSterkte_2</vt:lpstr>
      <vt:lpstr>_Neo_InfB_Cont_MedSterkte_3</vt:lpstr>
      <vt:lpstr>_Neo_InfB_Cont_MedSterkte_4</vt:lpstr>
      <vt:lpstr>_Neo_InfB_Cont_MedSterkte_5</vt:lpstr>
      <vt:lpstr>_Neo_InfB_Cont_MedSterkte_6</vt:lpstr>
      <vt:lpstr>_Neo_InfB_Cont_MedSterkte_7</vt:lpstr>
      <vt:lpstr>_Neo_InfB_Cont_MedSterkte_8</vt:lpstr>
      <vt:lpstr>_Neo_InfB_Cont_MedSterkte_9</vt:lpstr>
      <vt:lpstr>_Neo_InfB_Cont_MedTekst_1</vt:lpstr>
      <vt:lpstr>_Neo_InfB_Cont_MedTekst_2</vt:lpstr>
      <vt:lpstr>_Neo_InfB_Cont_OplHoev_1</vt:lpstr>
      <vt:lpstr>_Neo_InfB_Cont_OplHoev_2</vt:lpstr>
      <vt:lpstr>_Neo_InfB_Cont_OplHoev_3</vt:lpstr>
      <vt:lpstr>_Neo_InfB_Cont_OplHoev_4</vt:lpstr>
      <vt:lpstr>_Neo_InfB_Cont_OplHoev_5</vt:lpstr>
      <vt:lpstr>_Neo_InfB_Cont_OplHoev_6</vt:lpstr>
      <vt:lpstr>_Neo_InfB_Cont_OplHoev_7</vt:lpstr>
      <vt:lpstr>_Neo_InfB_Cont_OplHoev_8</vt:lpstr>
      <vt:lpstr>_Neo_InfB_Cont_OplHoev_9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Tbl_Glob_ParEnt</vt:lpstr>
      <vt:lpstr>tbl_Glob_Patient</vt:lpstr>
      <vt:lpstr>tbl_Neo_Beds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tbl_Ped_LiquorDrain</vt:lpstr>
      <vt:lpstr>Tbl_Ped_MedContIV</vt:lpstr>
      <vt:lpstr>tbl_Ped_NIBD</vt:lpstr>
      <vt:lpstr>tbl_Ped_Periode</vt:lpstr>
      <vt:lpstr>tbl_Ped_PMInstelling</vt:lpstr>
      <vt:lpstr>tbl_Ped_PMStandaard</vt:lpstr>
      <vt:lpstr>Tbl_Ped_Poeder</vt:lpstr>
      <vt:lpstr>Tbl_Ped_SST</vt:lpstr>
      <vt:lpstr>Tbl_Ped_TPN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Tbl_Ped_Voeding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tblOplossing</vt:lpstr>
      <vt:lpstr>tblOpzoekenMedicatieIV</vt:lpstr>
      <vt:lpstr>tblPacemakerModus</vt:lpstr>
      <vt:lpstr>tblPacemakerPositie</vt:lpstr>
      <vt:lpstr>tblSonde</vt:lpstr>
      <vt:lpstr>tblSSTGlucose</vt:lpstr>
      <vt:lpstr>tblTijden</vt:lpstr>
      <vt:lpstr>tblTPN</vt:lpstr>
      <vt:lpstr>tblVoedingBasislijst</vt:lpstr>
      <vt:lpstr>tblVoedingPoeder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Txt_Neo_InfB_ContIV_17</vt:lpstr>
      <vt:lpstr>Txt_Neo_InfB_ContIV_18</vt:lpstr>
      <vt:lpstr>Txt_Neo_InfB_ContIV_19</vt:lpstr>
      <vt:lpstr>Txt_Neo_InfB_ContIV_20</vt:lpstr>
      <vt:lpstr>Txt_Neo_InfB_ContIV_21</vt:lpstr>
      <vt:lpstr>Txt_Neo_InfB_ContIV_22</vt:lpstr>
      <vt:lpstr>Txt_Neo_InfB_ContIV_23</vt:lpstr>
      <vt:lpstr>Txt_Neo_InfB_ContIV_24</vt:lpstr>
      <vt:lpstr>Txt_Neo_InfB_ContIV_25</vt:lpstr>
      <vt:lpstr>Txt_Neo_InfB_ContIV_26</vt:lpstr>
      <vt:lpstr>Txt_Neo_InfB_ContIV_27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Txt_Neo_InfB_Voeding_11</vt:lpstr>
      <vt:lpstr>Txt_Neo_InfB_Voeding_12</vt:lpstr>
      <vt:lpstr>Txt_Neo_InfB_Voeding_13</vt:lpstr>
      <vt:lpstr>Txt_Neo_InfB_Voeding_14</vt:lpstr>
      <vt:lpstr>Txt_Neo_InfB_Voeding_15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Var_Neo_InfB_Cont_MedKeuze_1</vt:lpstr>
      <vt:lpstr>Var_Neo_InfB_Cont_MedKeuze_2</vt:lpstr>
      <vt:lpstr>Var_Neo_InfB_Cont_MedKeuze_3</vt:lpstr>
      <vt:lpstr>Var_Neo_InfB_Cont_MedKeuze_4</vt:lpstr>
      <vt:lpstr>Var_Neo_InfB_Cont_MedKeuze_5</vt:lpstr>
      <vt:lpstr>Var_Neo_InfB_Cont_MedKeuze_6</vt:lpstr>
      <vt:lpstr>Var_Neo_InfB_Cont_MedKeuze_7</vt:lpstr>
      <vt:lpstr>Var_Neo_InfB_Cont_MedKeuze_8</vt:lpstr>
      <vt:lpstr>Var_Neo_InfB_Cont_MedKeuze_9</vt:lpstr>
      <vt:lpstr>Var_Neo_InfB_Cont_MedSterkte_1</vt:lpstr>
      <vt:lpstr>Var_Neo_InfB_Cont_MedSterkte_2</vt:lpstr>
      <vt:lpstr>Var_Neo_InfB_Cont_MedSterkte_3</vt:lpstr>
      <vt:lpstr>Var_Neo_InfB_Cont_MedSterkte_4</vt:lpstr>
      <vt:lpstr>Var_Neo_InfB_Cont_MedSterkte_5</vt:lpstr>
      <vt:lpstr>Var_Neo_InfB_Cont_MedSterkte_6</vt:lpstr>
      <vt:lpstr>Var_Neo_InfB_Cont_MedSterkte_7</vt:lpstr>
      <vt:lpstr>Var_Neo_InfB_Cont_MedSterkte_8</vt:lpstr>
      <vt:lpstr>Var_Neo_InfB_Cont_MedSterkte_9</vt:lpstr>
      <vt:lpstr>Var_Neo_InfB_Cont_MedTekst_1</vt:lpstr>
      <vt:lpstr>Var_Neo_InfB_Cont_MedTekst_2</vt:lpstr>
      <vt:lpstr>Var_Neo_InfB_Cont_OplHoev_1</vt:lpstr>
      <vt:lpstr>Var_Neo_InfB_Cont_OplHoev_2</vt:lpstr>
      <vt:lpstr>Var_Neo_InfB_Cont_OplHoev_3</vt:lpstr>
      <vt:lpstr>Var_Neo_InfB_Cont_OplHoev_4</vt:lpstr>
      <vt:lpstr>Var_Neo_InfB_Cont_OplHoev_5</vt:lpstr>
      <vt:lpstr>Var_Neo_InfB_Cont_OplHoev_6</vt:lpstr>
      <vt:lpstr>Var_Neo_InfB_Cont_OplHoev_7</vt:lpstr>
      <vt:lpstr>Var_Neo_InfB_Cont_OplHoev_8</vt:lpstr>
      <vt:lpstr>Var_Neo_InfB_Cont_OplHoev_9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2017-01-16T02:12:37Z</dcterms:modified>
</cp:coreProperties>
</file>